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серпень" sheetId="1" r:id="rId1"/>
    <sheet name="липень" sheetId="2" r:id="rId2"/>
    <sheet name="червень" sheetId="3" r:id="rId3"/>
    <sheet name="травень" sheetId="4" r:id="rId4"/>
    <sheet name="квітень" sheetId="5" r:id="rId5"/>
    <sheet name="березень" sheetId="6" r:id="rId6"/>
    <sheet name="лютий" sheetId="7" r:id="rId7"/>
    <sheet name="січень" sheetId="8" r:id="rId8"/>
    <sheet name="2017 рік" sheetId="9" r:id="rId9"/>
    <sheet name="2016 рік" sheetId="10" r:id="rId10"/>
  </sheets>
  <externalReferences>
    <externalReference r:id="rId13"/>
    <externalReference r:id="rId14"/>
    <externalReference r:id="rId15"/>
  </externalReferences>
  <definedNames>
    <definedName name="_xlnm.Print_Titles" localSheetId="2">'червень'!$3:$6</definedName>
    <definedName name="_xlnm.Print_Area" localSheetId="4">'квітень'!$A$1:$X$109</definedName>
    <definedName name="_xlnm.Print_Area" localSheetId="1">'липень'!$A$1:$X$103</definedName>
    <definedName name="_xlnm.Print_Area" localSheetId="0">'серпень'!$A$1:$X$111</definedName>
    <definedName name="_xlnm.Print_Area" localSheetId="3">'травень'!$A$1:$Z$110</definedName>
    <definedName name="_xlnm.Print_Area" localSheetId="2">'червень'!$A$1:$Z$110</definedName>
  </definedNames>
  <calcPr fullCalcOnLoad="1"/>
</workbook>
</file>

<file path=xl/sharedStrings.xml><?xml version="1.0" encoding="utf-8"?>
<sst xmlns="http://schemas.openxmlformats.org/spreadsheetml/2006/main" count="1861" uniqueCount="268">
  <si>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</si>
  <si>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</si>
  <si>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</si>
  <si>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</si>
  <si>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</si>
  <si>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</si>
  <si>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</si>
  <si>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</si>
  <si>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</si>
  <si>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</si>
  <si>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</si>
  <si>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</si>
  <si>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</si>
  <si>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</si>
  <si>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</si>
  <si>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</si>
  <si>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</si>
  <si>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</si>
  <si>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</si>
  <si>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</si>
  <si>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</si>
  <si>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</si>
  <si>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</si>
  <si>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</si>
  <si>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</si>
  <si>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</si>
  <si>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</si>
  <si>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</si>
  <si>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</si>
  <si>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</si>
  <si>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</si>
  <si>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Фактично надійшло з початку року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</si>
  <si>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</si>
  <si>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</si>
  <si>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</si>
  <si>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</si>
  <si>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</si>
  <si>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</si>
  <si>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</si>
  <si>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</si>
  <si>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</si>
  <si>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</si>
  <si>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</si>
  <si>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</si>
  <si>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</si>
  <si>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</si>
  <si>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</si>
  <si>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</si>
  <si>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>Надходження коштів пайової участі у розвитку інфраструктури населеного пункту</t>
  </si>
  <si>
    <t>Надходження коштів від Держ фонду дорогоцінних металів та дорогоцінного каміння</t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</si>
  <si>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</si>
  <si>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</si>
  <si>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</si>
  <si>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</si>
  <si>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в т.ч. авансові внески по податку на прибуток</t>
  </si>
  <si>
    <t>11</t>
  </si>
  <si>
    <t>12</t>
  </si>
  <si>
    <t>13</t>
  </si>
  <si>
    <t>14</t>
  </si>
  <si>
    <t>15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</si>
  <si>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</si>
  <si>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</si>
  <si>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</si>
  <si>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</si>
  <si>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</si>
  <si>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</si>
  <si>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</si>
  <si>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</si>
  <si>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</si>
  <si>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</si>
  <si>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</si>
  <si>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</si>
  <si>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</si>
  <si>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</si>
  <si>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</si>
  <si>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</si>
  <si>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</si>
  <si>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</si>
  <si>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</si>
  <si>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</si>
  <si>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</si>
  <si>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</si>
  <si>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</si>
  <si>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</si>
  <si>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</si>
  <si>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</si>
  <si>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</si>
  <si>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</si>
  <si>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</si>
  <si>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</si>
  <si>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</si>
  <si>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</si>
  <si>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</si>
  <si>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</si>
  <si>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</si>
  <si>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</si>
  <si>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</si>
  <si>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</si>
  <si>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</si>
  <si>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</si>
  <si>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</si>
  <si>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</si>
  <si>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</si>
  <si>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</si>
  <si>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</si>
  <si>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</si>
  <si>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сертифікати</t>
  </si>
  <si>
    <t>рік</t>
  </si>
  <si>
    <t>очікувані 2017</t>
  </si>
  <si>
    <t xml:space="preserve">Динаміка  очікуваних та затверджених надходжень  2017р. </t>
  </si>
  <si>
    <r>
      <t>житл</t>
    </r>
    <r>
      <rPr>
        <i/>
        <sz val="14"/>
        <color indexed="30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фіз</t>
    </r>
  </si>
  <si>
    <r>
      <t xml:space="preserve">нежитл </t>
    </r>
    <r>
      <rPr>
        <b/>
        <i/>
        <sz val="14"/>
        <rFont val="Times New Roman"/>
        <family val="1"/>
      </rPr>
      <t>фіз</t>
    </r>
  </si>
  <si>
    <r>
      <t xml:space="preserve">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</si>
  <si>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нежитл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</si>
  <si>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тр </t>
    </r>
    <r>
      <rPr>
        <b/>
        <i/>
        <sz val="12"/>
        <rFont val="Times New Roman"/>
        <family val="1"/>
      </rPr>
      <t>фіз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</si>
  <si>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</si>
  <si>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</si>
  <si>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</si>
  <si>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податок </t>
    </r>
    <r>
      <rPr>
        <b/>
        <i/>
        <sz val="12"/>
        <rFont val="Times New Roman"/>
        <family val="1"/>
      </rPr>
      <t>фіз</t>
    </r>
  </si>
  <si>
    <r>
      <t xml:space="preserve">оренда </t>
    </r>
    <r>
      <rPr>
        <b/>
        <i/>
        <sz val="12"/>
        <rFont val="Times New Roman"/>
        <family val="1"/>
      </rPr>
      <t>фіз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</si>
  <si>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</si>
  <si>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r>
      <t>турист</t>
    </r>
    <r>
      <rPr>
        <b/>
        <i/>
        <sz val="12"/>
        <rFont val="Times New Roman"/>
        <family val="1"/>
      </rPr>
      <t xml:space="preserve"> фіз</t>
    </r>
  </si>
  <si>
    <t>Відхилення (+,-) до  плану на січень- 2018 року</t>
  </si>
  <si>
    <t>% виконання  плану на січень- 2018 року</t>
  </si>
  <si>
    <t>Виконано у січні</t>
  </si>
  <si>
    <t>Динаміка  запланованих надходжень  2018р. та фактичних 2017 р.</t>
  </si>
  <si>
    <t>факт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</si>
  <si>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</si>
  <si>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01.02.2018</t>
    </r>
    <r>
      <rPr>
        <b/>
        <sz val="16"/>
        <rFont val="Times New Roman"/>
        <family val="1"/>
      </rPr>
      <t>р.</t>
    </r>
  </si>
  <si>
    <t>Відхилення (+,-) до  плану на січень-лютий 2018 року</t>
  </si>
  <si>
    <t>% виконання  плану на січень- лютий2018 року</t>
  </si>
  <si>
    <t>План на 2018 рік</t>
  </si>
  <si>
    <t>Відхилення (+,-) до  плану на 2018 рік</t>
  </si>
  <si>
    <t>% виконання  плану за 2018 рік</t>
  </si>
  <si>
    <t>очікувані 2018</t>
  </si>
  <si>
    <t xml:space="preserve">Динаміка  очікуваних та затверджених надходжень  2018р. </t>
  </si>
  <si>
    <t>Виконано у лютому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</si>
  <si>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</si>
  <si>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</t>
  </si>
  <si>
    <t>План  на січень-лютий</t>
  </si>
  <si>
    <r>
      <rPr>
        <b/>
        <sz val="11"/>
        <rFont val="Times New Roman"/>
        <family val="1"/>
      </rPr>
      <t>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місяць  </t>
    </r>
  </si>
  <si>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</si>
  <si>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01.01.2018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</si>
  <si>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</si>
  <si>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</si>
  <si>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t>Виконано у грудні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</si>
  <si>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</si>
  <si>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 2017 року</t>
  </si>
  <si>
    <t>% виконання  плану на січень-грудень 2017 року</t>
  </si>
  <si>
    <t>Відхилення (+,-) до  плану на 2017 рік</t>
  </si>
  <si>
    <t>% виконання  плану на 2017 рік</t>
  </si>
  <si>
    <t>факт 2016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</si>
  <si>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29.12.17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</si>
  <si>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Динаміка  запланованих надходжень  2017р. та фактичних 2016 р.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</si>
  <si>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2017 та 2016 років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</si>
  <si>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</si>
  <si>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</si>
  <si>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</si>
  <si>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</si>
  <si>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t>Довідково :</t>
  </si>
  <si>
    <t xml:space="preserve">              - до кінця місяця залишилось</t>
  </si>
  <si>
    <t>робочих днів</t>
  </si>
  <si>
    <t xml:space="preserve">    - для забезпечення виконання плану по доходах загального фонду щоденно необхідно отримувати </t>
  </si>
  <si>
    <t xml:space="preserve">              Фактично надійшло податків за останні 3 дні до загального фонду (тис.грн.) :</t>
  </si>
  <si>
    <t xml:space="preserve"> 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</si>
  <si>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</si>
  <si>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            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</si>
  <si>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</si>
  <si>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ЦНАП</t>
  </si>
  <si>
    <t>податки, що контролюються ДПІ</t>
  </si>
  <si>
    <t>податки, що не контролюються ДПІ</t>
  </si>
  <si>
    <t>ВСЬОГО</t>
  </si>
  <si>
    <t>зф</t>
  </si>
  <si>
    <t>сф</t>
  </si>
  <si>
    <t>Власні надходження бюджетних установ</t>
  </si>
  <si>
    <t>Всього доходів (без трансфертів)</t>
  </si>
  <si>
    <t>Офіційні трансферти  ЗФ</t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</si>
  <si>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</si>
  <si>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</si>
  <si>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Всього доходи з офіційними трансфертами</t>
  </si>
  <si>
    <t>ВСІ інші  податки і збори</t>
  </si>
  <si>
    <t>Рентна плата за спеціальне використання лісових ресурсів</t>
  </si>
  <si>
    <t>Рентна плата за користування надрами для видобування корисних копалин місцевого значення</t>
  </si>
  <si>
    <t>плата за надання адмінпослуг (220100)</t>
  </si>
  <si>
    <t>інші надходження (24060000)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</si>
  <si>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</si>
  <si>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</si>
  <si>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</si>
  <si>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t>Відхилення (+,-) до  плану на січень-грудень2016 року</t>
  </si>
  <si>
    <t>% виконання  плану на січень-грудень 2016 року</t>
  </si>
  <si>
    <t>Відхилення (+,-) до  плану на 2016 рік</t>
  </si>
  <si>
    <t>% виконання  плану на 2016 рік</t>
  </si>
  <si>
    <t>факт 2015</t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</si>
  <si>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</si>
  <si>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t>грн.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</si>
  <si>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</si>
  <si>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Динаміка  фактичних надходжень лютий 2016 та 2015 років</t>
  </si>
  <si>
    <t>16</t>
  </si>
  <si>
    <t>Акцизний податок з реалізації суб`єктами господарювання роздрібної торгівлі підакцизних товарів</t>
  </si>
  <si>
    <t>Разом доходів загального фонду</t>
  </si>
  <si>
    <t>Всього доходів</t>
  </si>
  <si>
    <t>адмінпослуги (3) з травня 2016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</si>
  <si>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</si>
  <si>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д/м    </t>
    </r>
    <r>
      <rPr>
        <b/>
        <i/>
        <sz val="12"/>
        <rFont val="Times New Roman"/>
        <family val="1"/>
      </rPr>
      <t>паспорти Укр, посвідки на проживання</t>
    </r>
  </si>
  <si>
    <t>податки, що контролюються ДПІ (ЗФ+СФ)</t>
  </si>
  <si>
    <t>податки, що контролюються ЧМР   (ЗФ+СФ)</t>
  </si>
  <si>
    <t>податки, що контролюються іншими органами (ЗФ+СФ)</t>
  </si>
  <si>
    <t>ВСЬОГО   (ЗФ+СФ)</t>
  </si>
  <si>
    <t>Офіційні трансферти  СФ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</si>
  <si>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2018 та 2017 років</t>
    </r>
  </si>
  <si>
    <r>
      <t xml:space="preserve">Динаміка  </t>
    </r>
    <r>
      <rPr>
        <b/>
        <u val="single"/>
        <sz val="9"/>
        <rFont val="Times New Roman"/>
        <family val="1"/>
      </rPr>
      <t>запланованих</t>
    </r>
    <r>
      <rPr>
        <b/>
        <sz val="9"/>
        <rFont val="Times New Roman"/>
        <family val="1"/>
      </rPr>
      <t xml:space="preserve"> надходжень  2018р. та фактичних 2017 р.</t>
    </r>
  </si>
  <si>
    <r>
      <rPr>
        <b/>
        <i/>
        <sz val="10"/>
        <rFont val="Arial Cyr"/>
        <family val="0"/>
      </rPr>
      <t>Освітня</t>
    </r>
    <r>
      <rPr>
        <i/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</si>
  <si>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i/>
        <sz val="10"/>
        <rFont val="Arial Cyr"/>
        <family val="0"/>
      </rPr>
      <t>Медична</t>
    </r>
    <r>
      <rPr>
        <i/>
        <sz val="10"/>
        <rFont val="Arial Cyr"/>
        <family val="0"/>
      </rPr>
      <t xml:space="preserve"> субвенція з державного бюджету місцевим бюджетам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</si>
  <si>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</si>
  <si>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</si>
  <si>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січень-березень</t>
  </si>
  <si>
    <t>Відхилення (+,-) до  плану на січень-березень 2018 року</t>
  </si>
  <si>
    <t>% виконання  плану на січень- березень 2018 року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</si>
  <si>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2018 та 2017 років</t>
    </r>
  </si>
  <si>
    <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</si>
  <si>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</si>
  <si>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Уточнений план на 2018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</si>
  <si>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</si>
  <si>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30.03.18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</si>
  <si>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січень-квітень</t>
  </si>
  <si>
    <t>Відхилення (+,-) до  плану на січень-квітень 2018 року</t>
  </si>
  <si>
    <t>% виконання  плану на січень- квітень 2018 року</t>
  </si>
  <si>
    <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</si>
  <si>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t>Виконано у квітні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</si>
  <si>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2018 та 2017 років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</si>
  <si>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27.04.18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</si>
  <si>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січень-травень</t>
  </si>
  <si>
    <t>Відхилення (+,-) до  плану на січень-травень 2018 року</t>
  </si>
  <si>
    <t>% виконання  плану на січень- травень 2018 року</t>
  </si>
  <si>
    <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</si>
  <si>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</si>
  <si>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</si>
  <si>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01.05.2018</t>
    </r>
    <r>
      <rPr>
        <b/>
        <sz val="16"/>
        <rFont val="Times New Roman"/>
        <family val="1"/>
      </rPr>
      <t>р.</t>
    </r>
  </si>
  <si>
    <t>Кошти за шкоду внаслідок   самовільного зайняття землі, використання не за цільовим призначенням, зняття ґрунтового покриву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</si>
  <si>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</si>
  <si>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</si>
  <si>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січень-червень</t>
  </si>
  <si>
    <t>Відхилення (+,-) до  плану на січень-червень 2018 року</t>
  </si>
  <si>
    <t>% виконання  плану на січень- червень 2018 року</t>
  </si>
  <si>
    <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</si>
  <si>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</si>
  <si>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</si>
  <si>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</si>
  <si>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</t>
    </r>
    <r>
      <rPr>
        <b/>
        <sz val="10"/>
        <color indexed="10"/>
        <rFont val="Times New Roman"/>
        <family val="1"/>
      </rPr>
      <t>.06.18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</si>
  <si>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січень-липень</t>
  </si>
  <si>
    <t>Відхилення (+,-) до  плану на січень-липень 2018 року</t>
  </si>
  <si>
    <t>% виконання  плану на січень- липень 2018 року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</si>
  <si>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2018 та 2017 років</t>
    </r>
  </si>
  <si>
    <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</si>
  <si>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t>Виконано у липні</t>
  </si>
  <si>
    <r>
      <t xml:space="preserve">Динаміка  уточнених </t>
    </r>
    <r>
      <rPr>
        <b/>
        <u val="single"/>
        <sz val="9"/>
        <rFont val="Times New Roman"/>
        <family val="1"/>
      </rPr>
      <t>запланованих</t>
    </r>
    <r>
      <rPr>
        <b/>
        <sz val="9"/>
        <rFont val="Times New Roman"/>
        <family val="1"/>
      </rPr>
      <t xml:space="preserve"> надходжень  2018р. та фактичних 2017 р.</t>
    </r>
  </si>
  <si>
    <t>Власні надходження бюджетних установ (звіт)</t>
  </si>
  <si>
    <t>Дивіденди (помилкові)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</si>
  <si>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</t>
    </r>
    <r>
      <rPr>
        <b/>
        <sz val="10"/>
        <color indexed="10"/>
        <rFont val="Times New Roman"/>
        <family val="1"/>
      </rPr>
      <t>.07.18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</si>
  <si>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>01.08.2018</t>
    </r>
    <r>
      <rPr>
        <b/>
        <sz val="16"/>
        <rFont val="Times New Roman"/>
        <family val="1"/>
      </rPr>
      <t>р.</t>
    </r>
  </si>
  <si>
    <t>Відхилення (+,-) до  плану на січень-серпень 2018 року</t>
  </si>
  <si>
    <t>% виконання  плану на січень- серпень 2018 року</t>
  </si>
  <si>
    <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місяць  </t>
    </r>
  </si>
  <si>
    <t>Виконано у серпні</t>
  </si>
  <si>
    <t>План  на січень-серпень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</si>
  <si>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2018 та 2017 років</t>
    </r>
  </si>
  <si>
    <t>Аналіз виконання доходної частини бюджету м. Черкаси станом на 28.08.2018р.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</si>
  <si>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</t>
    </r>
    <r>
      <rPr>
        <b/>
        <sz val="10"/>
        <color indexed="10"/>
        <rFont val="Times New Roman"/>
        <family val="1"/>
      </rPr>
      <t>.08.18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</si>
</sst>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2"/>
      <color indexed="10"/>
      <name val="Times New Roman"/>
      <family val="1"/>
    </font>
    <font>
      <b/>
      <sz val="9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color indexed="30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u val="single"/>
      <sz val="11"/>
      <name val="Times New Roman"/>
      <family val="1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u val="single"/>
      <sz val="10"/>
      <name val="Times New Roman"/>
      <family val="1"/>
    </font>
    <font>
      <b/>
      <u val="single"/>
      <sz val="9"/>
      <name val="Times New Roman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i/>
      <sz val="12"/>
      <name val="Arial Cyr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Calibri"/>
      <family val="2"/>
    </font>
    <font>
      <b/>
      <sz val="10"/>
      <color rgb="FFFF0000"/>
      <name val="Times New Roman"/>
      <family val="1"/>
    </font>
    <font>
      <sz val="12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25" fillId="0" borderId="0">
      <alignment/>
      <protection/>
    </xf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8" borderId="7" applyNumberFormat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72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24" fillId="0" borderId="0">
      <alignment/>
      <protection/>
    </xf>
    <xf numFmtId="0" fontId="8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521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7" fillId="0" borderId="10" xfId="55" applyFont="1" applyBorder="1" applyAlignment="1" applyProtection="1">
      <alignment horizontal="right" vertical="center"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182" fontId="21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3" fillId="34" borderId="10" xfId="0" applyNumberFormat="1" applyFont="1" applyFill="1" applyBorder="1" applyAlignment="1" applyProtection="1">
      <alignment/>
      <protection/>
    </xf>
    <xf numFmtId="1" fontId="23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3" fillId="0" borderId="10" xfId="55" applyFont="1" applyFill="1" applyBorder="1" applyAlignment="1" applyProtection="1">
      <alignment/>
      <protection/>
    </xf>
    <xf numFmtId="0" fontId="10" fillId="0" borderId="0" xfId="55" applyFont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182" fontId="16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6" fillId="0" borderId="0" xfId="55" applyFont="1" applyAlignment="1" applyProtection="1">
      <alignment horizontal="center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0" fontId="28" fillId="0" borderId="10" xfId="55" applyFont="1" applyBorder="1" applyAlignment="1" applyProtection="1">
      <alignment vertical="center"/>
      <protection/>
    </xf>
    <xf numFmtId="182" fontId="17" fillId="0" borderId="10" xfId="0" applyNumberFormat="1" applyFont="1" applyFill="1" applyBorder="1" applyAlignment="1" applyProtection="1">
      <alignment horizontal="right"/>
      <protection/>
    </xf>
    <xf numFmtId="182" fontId="17" fillId="0" borderId="10" xfId="0" applyNumberFormat="1" applyFont="1" applyBorder="1" applyAlignment="1" applyProtection="1">
      <alignment/>
      <protection/>
    </xf>
    <xf numFmtId="182" fontId="17" fillId="0" borderId="10" xfId="0" applyNumberFormat="1" applyFont="1" applyFill="1" applyBorder="1" applyAlignment="1" applyProtection="1">
      <alignment horizontal="right"/>
      <protection locked="0"/>
    </xf>
    <xf numFmtId="182" fontId="17" fillId="0" borderId="10" xfId="0" applyNumberFormat="1" applyFont="1" applyFill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82" fontId="21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7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0" fillId="0" borderId="10" xfId="55" applyFont="1" applyBorder="1" applyAlignment="1" applyProtection="1">
      <alignment vertical="center"/>
      <protection/>
    </xf>
    <xf numFmtId="182" fontId="31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4" fillId="0" borderId="10" xfId="55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Border="1" applyAlignment="1" applyProtection="1">
      <alignment/>
      <protection/>
    </xf>
    <xf numFmtId="182" fontId="8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3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Fill="1" applyBorder="1" applyAlignment="1" applyProtection="1">
      <alignment/>
      <protection/>
    </xf>
    <xf numFmtId="182" fontId="3" fillId="34" borderId="10" xfId="0" applyNumberFormat="1" applyFont="1" applyFill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0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9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2" fillId="0" borderId="10" xfId="0" applyNumberFormat="1" applyFont="1" applyFill="1" applyBorder="1" applyAlignment="1" applyProtection="1">
      <alignment/>
      <protection/>
    </xf>
    <xf numFmtId="191" fontId="31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90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17" fillId="0" borderId="10" xfId="55" applyFont="1" applyBorder="1" applyAlignment="1" applyProtection="1">
      <alignment horizontal="left" vertical="center" wrapText="1"/>
      <protection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0" borderId="10" xfId="0" applyNumberFormat="1" applyFont="1" applyBorder="1" applyAlignment="1" applyProtection="1">
      <alignment/>
      <protection/>
    </xf>
    <xf numFmtId="191" fontId="89" fillId="0" borderId="10" xfId="0" applyNumberFormat="1" applyFont="1" applyFill="1" applyBorder="1" applyAlignment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182" fontId="3" fillId="39" borderId="10" xfId="0" applyNumberFormat="1" applyFont="1" applyFill="1" applyBorder="1" applyAlignment="1" applyProtection="1">
      <alignment/>
      <protection/>
    </xf>
    <xf numFmtId="191" fontId="3" fillId="39" borderId="10" xfId="0" applyNumberFormat="1" applyFont="1" applyFill="1" applyBorder="1" applyAlignment="1" applyProtection="1">
      <alignment/>
      <protection/>
    </xf>
    <xf numFmtId="182" fontId="89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49" fontId="3" fillId="39" borderId="10" xfId="0" applyNumberFormat="1" applyFont="1" applyFill="1" applyBorder="1" applyAlignment="1" applyProtection="1">
      <alignment horizontal="center" vertical="center" wrapText="1"/>
      <protection/>
    </xf>
    <xf numFmtId="0" fontId="10" fillId="39" borderId="10" xfId="55" applyFont="1" applyFill="1" applyBorder="1" applyProtection="1">
      <alignment/>
      <protection/>
    </xf>
    <xf numFmtId="182" fontId="3" fillId="39" borderId="10" xfId="55" applyNumberFormat="1" applyFont="1" applyFill="1" applyBorder="1" applyProtection="1">
      <alignment/>
      <protection/>
    </xf>
    <xf numFmtId="182" fontId="3" fillId="39" borderId="1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0" applyFont="1" applyFill="1" applyBorder="1" applyAlignment="1">
      <alignment wrapText="1"/>
    </xf>
    <xf numFmtId="0" fontId="7" fillId="0" borderId="0" xfId="55" applyFont="1" applyFill="1" applyAlignment="1" applyProtection="1">
      <alignment horizontal="center"/>
      <protection/>
    </xf>
    <xf numFmtId="0" fontId="17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7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2" fillId="37" borderId="10" xfId="0" applyNumberFormat="1" applyFont="1" applyFill="1" applyBorder="1" applyAlignment="1" applyProtection="1">
      <alignment/>
      <protection/>
    </xf>
    <xf numFmtId="182" fontId="32" fillId="40" borderId="10" xfId="0" applyNumberFormat="1" applyFont="1" applyFill="1" applyBorder="1" applyAlignment="1" applyProtection="1">
      <alignment horizontal="right"/>
      <protection/>
    </xf>
    <xf numFmtId="182" fontId="33" fillId="0" borderId="10" xfId="0" applyNumberFormat="1" applyFont="1" applyBorder="1" applyAlignment="1" applyProtection="1">
      <alignment/>
      <protection/>
    </xf>
    <xf numFmtId="191" fontId="33" fillId="0" borderId="10" xfId="0" applyNumberFormat="1" applyFont="1" applyBorder="1" applyAlignment="1" applyProtection="1">
      <alignment/>
      <protection/>
    </xf>
    <xf numFmtId="0" fontId="32" fillId="37" borderId="10" xfId="55" applyFont="1" applyFill="1" applyBorder="1" applyAlignment="1" applyProtection="1">
      <alignment horizontal="right" vertical="center" wrapText="1"/>
      <protection/>
    </xf>
    <xf numFmtId="182" fontId="17" fillId="37" borderId="10" xfId="0" applyNumberFormat="1" applyFont="1" applyFill="1" applyBorder="1" applyAlignment="1" applyProtection="1">
      <alignment horizontal="right"/>
      <protection locked="0"/>
    </xf>
    <xf numFmtId="0" fontId="17" fillId="37" borderId="10" xfId="55" applyFont="1" applyFill="1" applyBorder="1" applyAlignment="1" applyProtection="1">
      <alignment horizontal="right" vertical="center" wrapText="1"/>
      <protection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17" fillId="0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 horizontal="right"/>
      <protection locked="0"/>
    </xf>
    <xf numFmtId="191" fontId="32" fillId="0" borderId="10" xfId="0" applyNumberFormat="1" applyFont="1" applyFill="1" applyBorder="1" applyAlignment="1" applyProtection="1">
      <alignment horizontal="right"/>
      <protection locked="0"/>
    </xf>
    <xf numFmtId="191" fontId="2" fillId="37" borderId="10" xfId="0" applyNumberFormat="1" applyFont="1" applyFill="1" applyBorder="1" applyAlignment="1" applyProtection="1">
      <alignment horizontal="right"/>
      <protection locked="0"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6" fillId="0" borderId="10" xfId="0" applyNumberFormat="1" applyFont="1" applyFill="1" applyBorder="1" applyAlignment="1" applyProtection="1">
      <alignment horizontal="right"/>
      <protection locked="0"/>
    </xf>
    <xf numFmtId="191" fontId="7" fillId="0" borderId="10" xfId="0" applyNumberFormat="1" applyFont="1" applyFill="1" applyBorder="1" applyAlignment="1" applyProtection="1">
      <alignment horizontal="right"/>
      <protection locked="0"/>
    </xf>
    <xf numFmtId="191" fontId="3" fillId="0" borderId="10" xfId="0" applyNumberFormat="1" applyFont="1" applyFill="1" applyBorder="1" applyAlignment="1" applyProtection="1">
      <alignment horizontal="right"/>
      <protection locked="0"/>
    </xf>
    <xf numFmtId="191" fontId="3" fillId="39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 horizontal="right"/>
      <protection/>
    </xf>
    <xf numFmtId="182" fontId="91" fillId="37" borderId="10" xfId="0" applyNumberFormat="1" applyFont="1" applyFill="1" applyBorder="1" applyAlignment="1" applyProtection="1">
      <alignment horizontal="right"/>
      <protection/>
    </xf>
    <xf numFmtId="191" fontId="17" fillId="37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/>
      <protection/>
    </xf>
    <xf numFmtId="191" fontId="17" fillId="37" borderId="10" xfId="0" applyNumberFormat="1" applyFont="1" applyFill="1" applyBorder="1" applyAlignment="1" applyProtection="1">
      <alignment/>
      <protection/>
    </xf>
    <xf numFmtId="182" fontId="17" fillId="40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0" fontId="7" fillId="0" borderId="0" xfId="55" applyFont="1" applyFill="1" applyBorder="1" applyProtection="1">
      <alignment/>
      <protection/>
    </xf>
    <xf numFmtId="0" fontId="12" fillId="0" borderId="0" xfId="55" applyFont="1" applyAlignment="1" applyProtection="1">
      <alignment horizontal="center"/>
      <protection/>
    </xf>
    <xf numFmtId="182" fontId="40" fillId="0" borderId="0" xfId="0" applyNumberFormat="1" applyFont="1" applyAlignment="1" applyProtection="1">
      <alignment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28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vertical="center"/>
      <protection/>
    </xf>
    <xf numFmtId="4" fontId="30" fillId="37" borderId="10" xfId="55" applyNumberFormat="1" applyFont="1" applyFill="1" applyBorder="1" applyAlignment="1" applyProtection="1">
      <alignment vertical="center"/>
      <protection/>
    </xf>
    <xf numFmtId="4" fontId="9" fillId="0" borderId="10" xfId="55" applyNumberFormat="1" applyFont="1" applyFill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right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center" vertical="center"/>
      <protection/>
    </xf>
    <xf numFmtId="4" fontId="23" fillId="0" borderId="10" xfId="0" applyNumberFormat="1" applyFont="1" applyFill="1" applyBorder="1" applyAlignment="1" applyProtection="1">
      <alignment/>
      <protection/>
    </xf>
    <xf numFmtId="4" fontId="10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28" fillId="37" borderId="10" xfId="55" applyNumberFormat="1" applyFont="1" applyFill="1" applyBorder="1" applyAlignment="1" applyProtection="1">
      <alignment vertical="center"/>
      <protection/>
    </xf>
    <xf numFmtId="4" fontId="17" fillId="0" borderId="10" xfId="55" applyNumberFormat="1" applyFont="1" applyBorder="1" applyAlignment="1" applyProtection="1">
      <alignment vertical="center"/>
      <protection/>
    </xf>
    <xf numFmtId="4" fontId="9" fillId="37" borderId="10" xfId="55" applyNumberFormat="1" applyFont="1" applyFill="1" applyBorder="1" applyAlignment="1" applyProtection="1">
      <alignment vertical="center"/>
      <protection/>
    </xf>
    <xf numFmtId="182" fontId="3" fillId="0" borderId="0" xfId="55" applyNumberFormat="1" applyFont="1" applyAlignment="1" applyProtection="1">
      <alignment horizontal="center"/>
      <protection/>
    </xf>
    <xf numFmtId="4" fontId="9" fillId="33" borderId="10" xfId="0" applyNumberFormat="1" applyFont="1" applyFill="1" applyBorder="1" applyAlignment="1" applyProtection="1">
      <alignment/>
      <protection/>
    </xf>
    <xf numFmtId="4" fontId="9" fillId="0" borderId="10" xfId="0" applyNumberFormat="1" applyFont="1" applyBorder="1" applyAlignment="1">
      <alignment/>
    </xf>
    <xf numFmtId="4" fontId="9" fillId="0" borderId="10" xfId="55" applyNumberFormat="1" applyFont="1" applyBorder="1" applyAlignment="1" applyProtection="1">
      <alignment/>
      <protection/>
    </xf>
    <xf numFmtId="4" fontId="9" fillId="0" borderId="10" xfId="55" applyNumberFormat="1" applyFont="1" applyBorder="1" applyAlignment="1" applyProtection="1">
      <alignment horizontal="right"/>
      <protection/>
    </xf>
    <xf numFmtId="182" fontId="6" fillId="39" borderId="10" xfId="55" applyNumberFormat="1" applyFont="1" applyFill="1" applyBorder="1" applyProtection="1">
      <alignment/>
      <protection/>
    </xf>
    <xf numFmtId="182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right" vertical="center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center" vertical="center"/>
      <protection/>
    </xf>
    <xf numFmtId="4" fontId="9" fillId="0" borderId="10" xfId="55" applyNumberFormat="1" applyFont="1" applyFill="1" applyBorder="1" applyAlignment="1" applyProtection="1">
      <alignment/>
      <protection/>
    </xf>
    <xf numFmtId="4" fontId="9" fillId="0" borderId="15" xfId="0" applyNumberFormat="1" applyFont="1" applyBorder="1" applyAlignment="1">
      <alignment/>
    </xf>
    <xf numFmtId="4" fontId="32" fillId="0" borderId="10" xfId="55" applyNumberFormat="1" applyFont="1" applyBorder="1" applyAlignment="1" applyProtection="1">
      <alignment vertical="center"/>
      <protection/>
    </xf>
    <xf numFmtId="191" fontId="10" fillId="39" borderId="0" xfId="0" applyNumberFormat="1" applyFont="1" applyFill="1" applyAlignment="1" applyProtection="1">
      <alignment/>
      <protection/>
    </xf>
    <xf numFmtId="191" fontId="10" fillId="0" borderId="0" xfId="0" applyNumberFormat="1" applyFont="1" applyAlignment="1" applyProtection="1">
      <alignment/>
      <protection/>
    </xf>
    <xf numFmtId="182" fontId="32" fillId="40" borderId="10" xfId="0" applyNumberFormat="1" applyFont="1" applyFill="1" applyBorder="1" applyAlignment="1" applyProtection="1">
      <alignment horizontal="right"/>
      <protection/>
    </xf>
    <xf numFmtId="0" fontId="6" fillId="0" borderId="0" xfId="55" applyFont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0" xfId="55" applyFont="1" applyAlignment="1" applyProtection="1">
      <alignment horizontal="center"/>
      <protection/>
    </xf>
    <xf numFmtId="4" fontId="7" fillId="0" borderId="0" xfId="55" applyNumberFormat="1" applyFont="1" applyProtection="1">
      <alignment/>
      <protection/>
    </xf>
    <xf numFmtId="0" fontId="7" fillId="0" borderId="0" xfId="55" applyFont="1" applyAlignment="1" applyProtection="1">
      <alignment horizontal="left" wrapText="1"/>
      <protection/>
    </xf>
    <xf numFmtId="182" fontId="7" fillId="0" borderId="0" xfId="55" applyNumberFormat="1" applyFont="1" applyProtection="1">
      <alignment/>
      <protection/>
    </xf>
    <xf numFmtId="0" fontId="16" fillId="0" borderId="0" xfId="55" applyFont="1" applyAlignment="1" applyProtection="1">
      <alignment horizontal="center" wrapText="1"/>
      <protection/>
    </xf>
    <xf numFmtId="191" fontId="16" fillId="0" borderId="0" xfId="55" applyNumberFormat="1" applyFont="1" applyAlignment="1" applyProtection="1">
      <alignment horizontal="center" wrapText="1"/>
      <protection/>
    </xf>
    <xf numFmtId="0" fontId="7" fillId="0" borderId="0" xfId="55" applyFont="1" applyAlignment="1" applyProtection="1">
      <alignment wrapText="1"/>
      <protection/>
    </xf>
    <xf numFmtId="14" fontId="7" fillId="0" borderId="0" xfId="55" applyNumberFormat="1" applyFont="1" applyProtection="1">
      <alignment/>
      <protection/>
    </xf>
    <xf numFmtId="0" fontId="7" fillId="0" borderId="0" xfId="55" applyFont="1" applyAlignment="1" applyProtection="1">
      <alignment horizontal="right"/>
      <protection/>
    </xf>
    <xf numFmtId="4" fontId="7" fillId="0" borderId="0" xfId="55" applyNumberFormat="1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center"/>
      <protection/>
    </xf>
    <xf numFmtId="191" fontId="7" fillId="0" borderId="0" xfId="55" applyNumberFormat="1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91" fontId="9" fillId="0" borderId="0" xfId="55" applyNumberFormat="1" applyFont="1" applyBorder="1" applyAlignment="1" applyProtection="1">
      <alignment horizontal="center" wrapText="1"/>
      <protection/>
    </xf>
    <xf numFmtId="182" fontId="7" fillId="0" borderId="0" xfId="55" applyNumberFormat="1" applyFont="1" applyFill="1" applyBorder="1" applyProtection="1">
      <alignment/>
      <protection/>
    </xf>
    <xf numFmtId="182" fontId="7" fillId="0" borderId="0" xfId="55" applyNumberFormat="1" applyFont="1" applyBorder="1" applyAlignment="1" applyProtection="1">
      <alignment horizontal="right"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91" fontId="7" fillId="0" borderId="0" xfId="55" applyNumberFormat="1" applyFont="1" applyBorder="1" applyProtection="1">
      <alignment/>
      <protection/>
    </xf>
    <xf numFmtId="182" fontId="44" fillId="0" borderId="0" xfId="0" applyNumberFormat="1" applyFont="1" applyFill="1" applyBorder="1" applyAlignment="1">
      <alignment horizontal="center"/>
    </xf>
    <xf numFmtId="0" fontId="7" fillId="0" borderId="0" xfId="55" applyFont="1" applyAlignment="1" applyProtection="1">
      <alignment horizontal="left"/>
      <protection/>
    </xf>
    <xf numFmtId="0" fontId="92" fillId="38" borderId="0" xfId="55" applyFont="1" applyFill="1" applyAlignment="1" applyProtection="1">
      <alignment horizontal="center"/>
      <protection/>
    </xf>
    <xf numFmtId="182" fontId="7" fillId="38" borderId="0" xfId="55" applyNumberFormat="1" applyFont="1" applyFill="1" applyBorder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Fill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45" fillId="0" borderId="10" xfId="0" applyFont="1" applyBorder="1" applyAlignment="1">
      <alignment wrapText="1"/>
    </xf>
    <xf numFmtId="0" fontId="0" fillId="0" borderId="10" xfId="0" applyBorder="1" applyAlignment="1">
      <alignment/>
    </xf>
    <xf numFmtId="182" fontId="46" fillId="0" borderId="10" xfId="0" applyNumberFormat="1" applyFont="1" applyBorder="1" applyAlignment="1">
      <alignment/>
    </xf>
    <xf numFmtId="182" fontId="7" fillId="0" borderId="0" xfId="0" applyNumberFormat="1" applyFont="1" applyFill="1" applyBorder="1" applyAlignment="1" applyProtection="1">
      <alignment/>
      <protection/>
    </xf>
    <xf numFmtId="191" fontId="7" fillId="0" borderId="0" xfId="0" applyNumberFormat="1" applyFont="1" applyFill="1" applyBorder="1" applyAlignment="1" applyProtection="1">
      <alignment/>
      <protection/>
    </xf>
    <xf numFmtId="191" fontId="7" fillId="0" borderId="0" xfId="55" applyNumberFormat="1" applyFont="1" applyProtection="1">
      <alignment/>
      <protection/>
    </xf>
    <xf numFmtId="0" fontId="0" fillId="0" borderId="10" xfId="0" applyBorder="1" applyAlignment="1">
      <alignment wrapText="1"/>
    </xf>
    <xf numFmtId="0" fontId="3" fillId="0" borderId="0" xfId="55" applyFont="1" applyProtection="1">
      <alignment/>
      <protection/>
    </xf>
    <xf numFmtId="0" fontId="3" fillId="41" borderId="10" xfId="55" applyFont="1" applyFill="1" applyBorder="1" applyProtection="1">
      <alignment/>
      <protection/>
    </xf>
    <xf numFmtId="192" fontId="93" fillId="41" borderId="10" xfId="0" applyNumberFormat="1" applyFont="1" applyFill="1" applyBorder="1" applyAlignment="1">
      <alignment/>
    </xf>
    <xf numFmtId="182" fontId="93" fillId="41" borderId="10" xfId="0" applyNumberFormat="1" applyFont="1" applyFill="1" applyBorder="1" applyAlignment="1">
      <alignment/>
    </xf>
    <xf numFmtId="182" fontId="3" fillId="41" borderId="10" xfId="0" applyNumberFormat="1" applyFont="1" applyFill="1" applyBorder="1" applyAlignment="1" applyProtection="1">
      <alignment horizontal="right"/>
      <protection/>
    </xf>
    <xf numFmtId="182" fontId="3" fillId="41" borderId="10" xfId="0" applyNumberFormat="1" applyFont="1" applyFill="1" applyBorder="1" applyAlignment="1" applyProtection="1">
      <alignment/>
      <protection/>
    </xf>
    <xf numFmtId="182" fontId="3" fillId="41" borderId="0" xfId="0" applyNumberFormat="1" applyFont="1" applyFill="1" applyBorder="1" applyAlignment="1" applyProtection="1">
      <alignment/>
      <protection/>
    </xf>
    <xf numFmtId="191" fontId="3" fillId="41" borderId="0" xfId="0" applyNumberFormat="1" applyFont="1" applyFill="1" applyBorder="1" applyAlignment="1" applyProtection="1">
      <alignment/>
      <protection/>
    </xf>
    <xf numFmtId="191" fontId="3" fillId="0" borderId="0" xfId="55" applyNumberFormat="1" applyFont="1" applyProtection="1">
      <alignment/>
      <protection/>
    </xf>
    <xf numFmtId="0" fontId="92" fillId="0" borderId="0" xfId="55" applyFont="1" applyFill="1" applyAlignment="1" applyProtection="1">
      <alignment horizontal="center"/>
      <protection/>
    </xf>
    <xf numFmtId="0" fontId="7" fillId="42" borderId="10" xfId="55" applyFont="1" applyFill="1" applyBorder="1" applyAlignment="1" applyProtection="1">
      <alignment horizontal="left" vertical="center" wrapText="1"/>
      <protection/>
    </xf>
    <xf numFmtId="0" fontId="6" fillId="0" borderId="10" xfId="55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horizontal="right" vertical="center" wrapText="1"/>
      <protection/>
    </xf>
    <xf numFmtId="0" fontId="7" fillId="0" borderId="0" xfId="55" applyFont="1" applyFill="1" applyBorder="1" applyAlignment="1" applyProtection="1">
      <alignment horizontal="left" vertical="center" wrapText="1"/>
      <protection/>
    </xf>
    <xf numFmtId="0" fontId="7" fillId="42" borderId="10" xfId="55" applyFont="1" applyFill="1" applyBorder="1" applyAlignment="1" applyProtection="1">
      <alignment vertical="center" wrapText="1"/>
      <protection/>
    </xf>
    <xf numFmtId="0" fontId="7" fillId="0" borderId="0" xfId="55" applyFont="1" applyFill="1" applyBorder="1" applyAlignment="1" applyProtection="1">
      <alignment vertical="center" wrapText="1"/>
      <protection/>
    </xf>
    <xf numFmtId="0" fontId="7" fillId="42" borderId="14" xfId="55" applyFont="1" applyFill="1" applyBorder="1" applyAlignment="1" applyProtection="1">
      <alignment horizontal="left" vertical="center" wrapText="1"/>
      <protection/>
    </xf>
    <xf numFmtId="0" fontId="6" fillId="0" borderId="14" xfId="55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vertical="center" wrapText="1"/>
      <protection/>
    </xf>
    <xf numFmtId="182" fontId="7" fillId="37" borderId="14" xfId="55" applyNumberFormat="1" applyFont="1" applyFill="1" applyBorder="1" applyAlignment="1" applyProtection="1">
      <alignment vertical="center" wrapText="1"/>
      <protection/>
    </xf>
    <xf numFmtId="191" fontId="7" fillId="0" borderId="14" xfId="55" applyNumberFormat="1" applyFont="1" applyFill="1" applyBorder="1" applyAlignment="1" applyProtection="1">
      <alignment horizontal="right" vertical="center" wrapText="1"/>
      <protection/>
    </xf>
    <xf numFmtId="0" fontId="7" fillId="42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right" wrapText="1"/>
    </xf>
    <xf numFmtId="182" fontId="7" fillId="0" borderId="14" xfId="0" applyNumberFormat="1" applyFont="1" applyFill="1" applyBorder="1" applyAlignment="1">
      <alignment wrapText="1"/>
    </xf>
    <xf numFmtId="182" fontId="7" fillId="37" borderId="14" xfId="0" applyNumberFormat="1" applyFont="1" applyFill="1" applyBorder="1" applyAlignment="1">
      <alignment wrapText="1"/>
    </xf>
    <xf numFmtId="191" fontId="7" fillId="0" borderId="14" xfId="0" applyNumberFormat="1" applyFont="1" applyFill="1" applyBorder="1" applyAlignment="1">
      <alignment horizontal="right" wrapText="1"/>
    </xf>
    <xf numFmtId="182" fontId="7" fillId="0" borderId="14" xfId="0" applyNumberFormat="1" applyFont="1" applyFill="1" applyBorder="1" applyAlignment="1">
      <alignment horizontal="right" wrapText="1"/>
    </xf>
    <xf numFmtId="191" fontId="7" fillId="0" borderId="1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wrapText="1"/>
    </xf>
    <xf numFmtId="0" fontId="7" fillId="42" borderId="10" xfId="55" applyFont="1" applyFill="1" applyBorder="1" applyAlignment="1" applyProtection="1">
      <alignment vertical="center" wrapText="1"/>
      <protection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horizontal="right" vertical="center" wrapText="1"/>
      <protection/>
    </xf>
    <xf numFmtId="0" fontId="7" fillId="0" borderId="0" xfId="55" applyFont="1" applyFill="1" applyBorder="1" applyAlignment="1" applyProtection="1">
      <alignment vertical="center" wrapText="1"/>
      <protection/>
    </xf>
    <xf numFmtId="182" fontId="6" fillId="0" borderId="0" xfId="55" applyNumberFormat="1" applyFont="1" applyAlignment="1" applyProtection="1">
      <alignment horizontal="center"/>
      <protection/>
    </xf>
    <xf numFmtId="4" fontId="6" fillId="37" borderId="0" xfId="55" applyNumberFormat="1" applyFont="1" applyFill="1" applyAlignment="1" applyProtection="1">
      <alignment horizontal="center"/>
      <protection/>
    </xf>
    <xf numFmtId="191" fontId="6" fillId="0" borderId="0" xfId="55" applyNumberFormat="1" applyFont="1" applyBorder="1" applyAlignment="1" applyProtection="1">
      <alignment horizontal="center"/>
      <protection/>
    </xf>
    <xf numFmtId="0" fontId="92" fillId="0" borderId="0" xfId="55" applyFont="1" applyAlignment="1" applyProtection="1">
      <alignment horizontal="center"/>
      <protection/>
    </xf>
    <xf numFmtId="0" fontId="7" fillId="37" borderId="10" xfId="55" applyFont="1" applyFill="1" applyBorder="1" applyAlignment="1" applyProtection="1">
      <alignment vertical="center" wrapText="1"/>
      <protection/>
    </xf>
    <xf numFmtId="0" fontId="6" fillId="0" borderId="10" xfId="55" applyFont="1" applyFill="1" applyBorder="1" applyAlignment="1" applyProtection="1">
      <alignment vertical="center" wrapText="1"/>
      <protection/>
    </xf>
    <xf numFmtId="191" fontId="7" fillId="0" borderId="10" xfId="55" applyNumberFormat="1" applyFont="1" applyFill="1" applyBorder="1" applyAlignment="1" applyProtection="1">
      <alignment vertical="center" wrapText="1"/>
      <protection/>
    </xf>
    <xf numFmtId="0" fontId="7" fillId="37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>
      <alignment wrapText="1"/>
    </xf>
    <xf numFmtId="182" fontId="7" fillId="37" borderId="10" xfId="0" applyNumberFormat="1" applyFont="1" applyFill="1" applyBorder="1" applyAlignment="1">
      <alignment wrapText="1"/>
    </xf>
    <xf numFmtId="191" fontId="7" fillId="0" borderId="10" xfId="0" applyNumberFormat="1" applyFont="1" applyFill="1" applyBorder="1" applyAlignment="1">
      <alignment wrapText="1"/>
    </xf>
    <xf numFmtId="182" fontId="7" fillId="0" borderId="14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6" fillId="0" borderId="0" xfId="55" applyFont="1" applyProtection="1">
      <alignment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horizontal="right" vertical="center" wrapText="1"/>
      <protection/>
    </xf>
    <xf numFmtId="0" fontId="7" fillId="0" borderId="10" xfId="55" applyFont="1" applyFill="1" applyBorder="1" applyAlignment="1" applyProtection="1">
      <alignment horizontal="right" vertical="center" wrapText="1"/>
      <protection/>
    </xf>
    <xf numFmtId="0" fontId="7" fillId="0" borderId="0" xfId="55" applyFont="1" applyFill="1" applyBorder="1" applyAlignment="1" applyProtection="1">
      <alignment horizontal="right" vertical="center" wrapText="1"/>
      <protection/>
    </xf>
    <xf numFmtId="0" fontId="92" fillId="0" borderId="10" xfId="55" applyFont="1" applyFill="1" applyBorder="1" applyAlignment="1" applyProtection="1">
      <alignment horizontal="right" vertical="center" wrapText="1"/>
      <protection/>
    </xf>
    <xf numFmtId="183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4" fontId="3" fillId="0" borderId="0" xfId="55" applyNumberFormat="1" applyFont="1" applyFill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4" fontId="8" fillId="36" borderId="10" xfId="55" applyNumberFormat="1" applyFont="1" applyFill="1" applyBorder="1" applyAlignment="1" applyProtection="1">
      <alignment horizontal="center" vertical="center" wrapText="1"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0" fontId="7" fillId="0" borderId="10" xfId="55" applyFont="1" applyBorder="1" applyAlignment="1" applyProtection="1">
      <alignment vertical="center" wrapText="1"/>
      <protection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4" fontId="17" fillId="36" borderId="10" xfId="0" applyNumberFormat="1" applyFont="1" applyFill="1" applyBorder="1" applyAlignment="1" applyProtection="1">
      <alignment horizontal="right"/>
      <protection locked="0"/>
    </xf>
    <xf numFmtId="0" fontId="94" fillId="0" borderId="0" xfId="0" applyFont="1" applyAlignment="1" applyProtection="1">
      <alignment/>
      <protection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182" fontId="90" fillId="0" borderId="10" xfId="0" applyNumberFormat="1" applyFont="1" applyFill="1" applyBorder="1" applyAlignment="1" applyProtection="1">
      <alignment/>
      <protection/>
    </xf>
    <xf numFmtId="191" fontId="90" fillId="0" borderId="10" xfId="0" applyNumberFormat="1" applyFont="1" applyFill="1" applyBorder="1" applyAlignment="1" applyProtection="1">
      <alignment/>
      <protection/>
    </xf>
    <xf numFmtId="182" fontId="34" fillId="0" borderId="10" xfId="0" applyNumberFormat="1" applyFont="1" applyBorder="1" applyAlignment="1" applyProtection="1">
      <alignment/>
      <protection/>
    </xf>
    <xf numFmtId="191" fontId="34" fillId="0" borderId="10" xfId="0" applyNumberFormat="1" applyFont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2" fillId="37" borderId="10" xfId="0" applyNumberFormat="1" applyFont="1" applyFill="1" applyBorder="1" applyAlignment="1" applyProtection="1">
      <alignment horizontal="right"/>
      <protection/>
    </xf>
    <xf numFmtId="4" fontId="2" fillId="36" borderId="10" xfId="0" applyNumberFormat="1" applyFont="1" applyFill="1" applyBorder="1" applyAlignment="1" applyProtection="1">
      <alignment horizontal="right"/>
      <protection/>
    </xf>
    <xf numFmtId="4" fontId="32" fillId="36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Fill="1" applyBorder="1" applyAlignment="1" applyProtection="1">
      <alignment horizontal="right"/>
      <protection locked="0"/>
    </xf>
    <xf numFmtId="182" fontId="32" fillId="13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4" fontId="2" fillId="37" borderId="10" xfId="0" applyNumberFormat="1" applyFont="1" applyFill="1" applyBorder="1" applyAlignment="1" applyProtection="1">
      <alignment horizontal="right"/>
      <protection locked="0"/>
    </xf>
    <xf numFmtId="4" fontId="7" fillId="0" borderId="10" xfId="0" applyNumberFormat="1" applyFont="1" applyFill="1" applyBorder="1" applyAlignment="1" applyProtection="1">
      <alignment horizontal="right"/>
      <protection/>
    </xf>
    <xf numFmtId="0" fontId="7" fillId="0" borderId="14" xfId="0" applyFont="1" applyBorder="1" applyAlignment="1">
      <alignment wrapText="1"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32" fillId="36" borderId="10" xfId="0" applyNumberFormat="1" applyFont="1" applyFill="1" applyBorder="1" applyAlignment="1" applyProtection="1">
      <alignment horizontal="right"/>
      <protection locked="0"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182" fontId="2" fillId="34" borderId="10" xfId="0" applyNumberFormat="1" applyFont="1" applyFill="1" applyBorder="1" applyAlignment="1" applyProtection="1">
      <alignment/>
      <protection/>
    </xf>
    <xf numFmtId="182" fontId="6" fillId="34" borderId="10" xfId="0" applyNumberFormat="1" applyFont="1" applyFill="1" applyBorder="1" applyAlignment="1" applyProtection="1">
      <alignment/>
      <protection/>
    </xf>
    <xf numFmtId="191" fontId="6" fillId="34" borderId="14" xfId="0" applyNumberFormat="1" applyFont="1" applyFill="1" applyBorder="1" applyAlignment="1" applyProtection="1">
      <alignment/>
      <protection/>
    </xf>
    <xf numFmtId="4" fontId="10" fillId="0" borderId="0" xfId="0" applyNumberFormat="1" applyFont="1" applyAlignment="1" applyProtection="1">
      <alignment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1" fillId="35" borderId="10" xfId="0" applyNumberFormat="1" applyFont="1" applyFill="1" applyBorder="1" applyAlignment="1" applyProtection="1">
      <alignment horizontal="right"/>
      <protection/>
    </xf>
    <xf numFmtId="4" fontId="7" fillId="36" borderId="1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4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4" fontId="3" fillId="36" borderId="10" xfId="55" applyNumberFormat="1" applyFont="1" applyFill="1" applyBorder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182" fontId="1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91" fontId="23" fillId="0" borderId="10" xfId="0" applyNumberFormat="1" applyFont="1" applyFill="1" applyBorder="1" applyAlignme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7" fillId="0" borderId="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Alignment="1" applyProtection="1">
      <alignment horizontal="center"/>
      <protection/>
    </xf>
    <xf numFmtId="4" fontId="7" fillId="38" borderId="0" xfId="55" applyNumberFormat="1" applyFont="1" applyFill="1" applyBorder="1" applyProtection="1">
      <alignment/>
      <protection/>
    </xf>
    <xf numFmtId="182" fontId="7" fillId="38" borderId="0" xfId="55" applyNumberFormat="1" applyFont="1" applyFill="1" applyProtection="1">
      <alignment/>
      <protection/>
    </xf>
    <xf numFmtId="4" fontId="7" fillId="37" borderId="0" xfId="55" applyNumberFormat="1" applyFont="1" applyFill="1" applyProtection="1">
      <alignment/>
      <protection/>
    </xf>
    <xf numFmtId="4" fontId="7" fillId="0" borderId="0" xfId="55" applyNumberFormat="1" applyFont="1" applyBorder="1" applyProtection="1">
      <alignment/>
      <protection/>
    </xf>
    <xf numFmtId="182" fontId="7" fillId="37" borderId="0" xfId="55" applyNumberFormat="1" applyFont="1" applyFill="1" applyBorder="1" applyProtection="1">
      <alignment/>
      <protection/>
    </xf>
    <xf numFmtId="191" fontId="7" fillId="0" borderId="0" xfId="55" applyNumberFormat="1" applyFont="1" applyFill="1" applyBorder="1" applyProtection="1">
      <alignment/>
      <protection/>
    </xf>
    <xf numFmtId="4" fontId="7" fillId="38" borderId="0" xfId="55" applyNumberFormat="1" applyFont="1" applyFill="1" applyProtection="1">
      <alignment/>
      <protection/>
    </xf>
    <xf numFmtId="0" fontId="23" fillId="0" borderId="0" xfId="55" applyFont="1" applyProtection="1">
      <alignment/>
      <protection/>
    </xf>
    <xf numFmtId="182" fontId="6" fillId="0" borderId="0" xfId="55" applyNumberFormat="1" applyFont="1" applyProtection="1">
      <alignment/>
      <protection/>
    </xf>
    <xf numFmtId="182" fontId="6" fillId="37" borderId="0" xfId="55" applyNumberFormat="1" applyFont="1" applyFill="1" applyProtection="1">
      <alignment/>
      <protection/>
    </xf>
    <xf numFmtId="191" fontId="6" fillId="0" borderId="0" xfId="55" applyNumberFormat="1" applyFont="1" applyProtection="1">
      <alignment/>
      <protection/>
    </xf>
    <xf numFmtId="191" fontId="7" fillId="0" borderId="14" xfId="55" applyNumberFormat="1" applyFont="1" applyFill="1" applyBorder="1" applyAlignment="1" applyProtection="1">
      <alignment vertical="center" wrapText="1"/>
      <protection/>
    </xf>
    <xf numFmtId="191" fontId="7" fillId="0" borderId="14" xfId="0" applyNumberFormat="1" applyFont="1" applyFill="1" applyBorder="1" applyAlignment="1">
      <alignment wrapText="1"/>
    </xf>
    <xf numFmtId="191" fontId="7" fillId="0" borderId="10" xfId="55" applyNumberFormat="1" applyFont="1" applyFill="1" applyBorder="1" applyAlignment="1" applyProtection="1">
      <alignment vertical="center" wrapText="1"/>
      <protection/>
    </xf>
    <xf numFmtId="191" fontId="7" fillId="0" borderId="10" xfId="0" applyNumberFormat="1" applyFont="1" applyFill="1" applyBorder="1" applyAlignment="1">
      <alignment wrapText="1"/>
    </xf>
    <xf numFmtId="191" fontId="7" fillId="0" borderId="0" xfId="55" applyNumberFormat="1" applyFont="1" applyAlignment="1" applyProtection="1">
      <alignment horizontal="center"/>
      <protection/>
    </xf>
    <xf numFmtId="191" fontId="3" fillId="34" borderId="10" xfId="55" applyNumberFormat="1" applyFont="1" applyFill="1" applyBorder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93" fillId="41" borderId="10" xfId="0" applyNumberFormat="1" applyFont="1" applyFill="1" applyBorder="1" applyAlignment="1">
      <alignment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/>
    </xf>
    <xf numFmtId="182" fontId="51" fillId="0" borderId="10" xfId="0" applyNumberFormat="1" applyFont="1" applyBorder="1" applyAlignment="1">
      <alignment/>
    </xf>
    <xf numFmtId="182" fontId="51" fillId="0" borderId="10" xfId="0" applyNumberFormat="1" applyFont="1" applyFill="1" applyBorder="1" applyAlignment="1">
      <alignment/>
    </xf>
    <xf numFmtId="49" fontId="3" fillId="39" borderId="10" xfId="0" applyNumberFormat="1" applyFont="1" applyFill="1" applyBorder="1" applyAlignment="1" applyProtection="1">
      <alignment horizontal="center" vertical="center" wrapText="1"/>
      <protection/>
    </xf>
    <xf numFmtId="0" fontId="23" fillId="39" borderId="10" xfId="55" applyFont="1" applyFill="1" applyBorder="1" applyProtection="1">
      <alignment/>
      <protection/>
    </xf>
    <xf numFmtId="0" fontId="3" fillId="39" borderId="10" xfId="55" applyFont="1" applyFill="1" applyBorder="1" applyAlignment="1" applyProtection="1">
      <alignment horizontal="center"/>
      <protection/>
    </xf>
    <xf numFmtId="182" fontId="32" fillId="37" borderId="10" xfId="0" applyNumberFormat="1" applyFont="1" applyFill="1" applyBorder="1" applyAlignment="1" applyProtection="1">
      <alignment horizontal="right"/>
      <protection/>
    </xf>
    <xf numFmtId="182" fontId="2" fillId="44" borderId="10" xfId="55" applyNumberFormat="1" applyFont="1" applyFill="1" applyBorder="1" applyProtection="1">
      <alignment/>
      <protection/>
    </xf>
    <xf numFmtId="182" fontId="2" fillId="44" borderId="10" xfId="0" applyNumberFormat="1" applyFont="1" applyFill="1" applyBorder="1" applyAlignment="1" applyProtection="1">
      <alignment horizontal="right"/>
      <protection/>
    </xf>
    <xf numFmtId="182" fontId="46" fillId="44" borderId="10" xfId="0" applyNumberFormat="1" applyFont="1" applyFill="1" applyBorder="1" applyAlignment="1">
      <alignment/>
    </xf>
    <xf numFmtId="182" fontId="6" fillId="37" borderId="0" xfId="55" applyNumberFormat="1" applyFont="1" applyFill="1" applyAlignment="1" applyProtection="1">
      <alignment horizontal="center"/>
      <protection/>
    </xf>
    <xf numFmtId="0" fontId="7" fillId="45" borderId="10" xfId="55" applyFont="1" applyFill="1" applyBorder="1" applyAlignment="1" applyProtection="1">
      <alignment vertical="center" wrapText="1"/>
      <protection/>
    </xf>
    <xf numFmtId="0" fontId="7" fillId="45" borderId="10" xfId="0" applyFont="1" applyFill="1" applyBorder="1" applyAlignment="1">
      <alignment wrapText="1"/>
    </xf>
    <xf numFmtId="183" fontId="10" fillId="0" borderId="0" xfId="0" applyNumberFormat="1" applyFont="1" applyAlignment="1" applyProtection="1">
      <alignment/>
      <protection/>
    </xf>
    <xf numFmtId="191" fontId="33" fillId="0" borderId="0" xfId="0" applyNumberFormat="1" applyFont="1" applyAlignment="1" applyProtection="1">
      <alignment horizontal="center"/>
      <protection/>
    </xf>
    <xf numFmtId="191" fontId="2" fillId="0" borderId="0" xfId="0" applyNumberFormat="1" applyFont="1" applyAlignment="1" applyProtection="1">
      <alignment horizontal="center"/>
      <protection/>
    </xf>
    <xf numFmtId="182" fontId="3" fillId="41" borderId="10" xfId="0" applyNumberFormat="1" applyFont="1" applyFill="1" applyBorder="1" applyAlignment="1" applyProtection="1">
      <alignment/>
      <protection/>
    </xf>
    <xf numFmtId="192" fontId="95" fillId="0" borderId="10" xfId="54" applyNumberFormat="1" applyFont="1" applyBorder="1">
      <alignment/>
      <protection/>
    </xf>
    <xf numFmtId="0" fontId="52" fillId="0" borderId="0" xfId="55" applyFont="1" applyAlignment="1" applyProtection="1">
      <alignment horizontal="center"/>
      <protection/>
    </xf>
    <xf numFmtId="0" fontId="90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19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60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18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23" fillId="13" borderId="18" xfId="55" applyFont="1" applyFill="1" applyBorder="1" applyAlignment="1" applyProtection="1">
      <alignment horizontal="center" vertical="center" wrapText="1"/>
      <protection/>
    </xf>
    <xf numFmtId="0" fontId="23" fillId="13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3" fillId="0" borderId="19" xfId="55" applyFont="1" applyFill="1" applyBorder="1" applyAlignment="1" applyProtection="1">
      <alignment horizontal="center" vertical="center" wrapText="1"/>
      <protection/>
    </xf>
    <xf numFmtId="0" fontId="23" fillId="0" borderId="20" xfId="55" applyFont="1" applyFill="1" applyBorder="1" applyAlignment="1" applyProtection="1">
      <alignment horizontal="center" vertical="center" wrapText="1"/>
      <protection/>
    </xf>
    <xf numFmtId="0" fontId="23" fillId="0" borderId="21" xfId="55" applyFont="1" applyFill="1" applyBorder="1" applyAlignment="1" applyProtection="1">
      <alignment horizontal="center" vertical="center" wrapText="1"/>
      <protection/>
    </xf>
    <xf numFmtId="0" fontId="35" fillId="37" borderId="19" xfId="55" applyFont="1" applyFill="1" applyBorder="1" applyAlignment="1" applyProtection="1">
      <alignment horizontal="center" vertical="center" wrapText="1"/>
      <protection/>
    </xf>
    <xf numFmtId="0" fontId="35" fillId="37" borderId="20" xfId="55" applyFont="1" applyFill="1" applyBorder="1" applyAlignment="1" applyProtection="1">
      <alignment horizontal="center" vertical="center" wrapText="1"/>
      <protection/>
    </xf>
    <xf numFmtId="0" fontId="35" fillId="37" borderId="21" xfId="55" applyFont="1" applyFill="1" applyBorder="1" applyAlignment="1" applyProtection="1">
      <alignment horizontal="center" vertical="center" wrapText="1"/>
      <protection/>
    </xf>
    <xf numFmtId="0" fontId="23" fillId="0" borderId="10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42" fillId="0" borderId="0" xfId="55" applyFont="1" applyAlignment="1" applyProtection="1">
      <alignment horizontal="center"/>
      <protection/>
    </xf>
    <xf numFmtId="0" fontId="42" fillId="0" borderId="0" xfId="55" applyFont="1" applyBorder="1" applyAlignment="1" applyProtection="1">
      <alignment horizontal="center"/>
      <protection/>
    </xf>
    <xf numFmtId="0" fontId="12" fillId="0" borderId="0" xfId="55" applyFont="1" applyAlignment="1" applyProtection="1">
      <alignment horizontal="center"/>
      <protection/>
    </xf>
    <xf numFmtId="0" fontId="35" fillId="0" borderId="19" xfId="55" applyFont="1" applyFill="1" applyBorder="1" applyAlignment="1" applyProtection="1">
      <alignment horizontal="center" vertical="center" wrapText="1"/>
      <protection/>
    </xf>
    <xf numFmtId="0" fontId="35" fillId="0" borderId="20" xfId="55" applyFont="1" applyFill="1" applyBorder="1" applyAlignment="1" applyProtection="1">
      <alignment horizontal="center" vertical="center" wrapText="1"/>
      <protection/>
    </xf>
    <xf numFmtId="0" fontId="35" fillId="0" borderId="21" xfId="55" applyFont="1" applyFill="1" applyBorder="1" applyAlignment="1" applyProtection="1">
      <alignment horizontal="center" vertical="center" wrapText="1"/>
      <protection/>
    </xf>
    <xf numFmtId="49" fontId="4" fillId="33" borderId="18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8" xfId="60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horizontal="right"/>
      <protection/>
    </xf>
    <xf numFmtId="0" fontId="18" fillId="0" borderId="0" xfId="55" applyFont="1" applyAlignment="1" applyProtection="1">
      <alignment horizontal="center"/>
      <protection/>
    </xf>
    <xf numFmtId="0" fontId="7" fillId="0" borderId="0" xfId="55" applyFont="1" applyFill="1" applyBorder="1" applyAlignment="1" applyProtection="1">
      <alignment horizontal="left" wrapText="1"/>
      <protection/>
    </xf>
    <xf numFmtId="4" fontId="6" fillId="36" borderId="13" xfId="0" applyNumberFormat="1" applyFont="1" applyFill="1" applyBorder="1" applyAlignment="1" applyProtection="1">
      <alignment horizontal="center" vertical="center" wrapText="1"/>
      <protection/>
    </xf>
    <xf numFmtId="4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0" fontId="7" fillId="0" borderId="0" xfId="55" applyFont="1" applyBorder="1" applyAlignment="1" applyProtection="1">
      <alignment horizontal="left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\!\&#1053;&#1040;%20&#1057;&#1040;&#1049;&#1058;!!!!\vikonannya%2016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\!\&#1053;&#1040;%20&#1057;&#1040;&#1049;&#1058;!!!!\&#1065;&#1086;&#1076;&#1077;&#1085;&#1085;&#1110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Азот и обленерго"/>
      <sheetName val="Лист2"/>
      <sheetName val="Лист1"/>
      <sheetName val="Лист7"/>
      <sheetName val="динамика"/>
      <sheetName val="Лист3"/>
      <sheetName val="22012500"/>
      <sheetName val="210811-3"/>
      <sheetName val="180000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7490-сф"/>
      <sheetName val="220804. 871"/>
      <sheetName val="депозит"/>
      <sheetName val="надх"/>
      <sheetName val="залишки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кредити"/>
      <sheetName val="повер ПДФО та трансп"/>
      <sheetName val="110202. 861"/>
      <sheetName val="2111 з 2003р"/>
      <sheetName val="Лист8"/>
      <sheetName val="210103. 871"/>
      <sheetName val="2105. 534"/>
      <sheetName val="210815. 561"/>
      <sheetName val="240622. 611"/>
      <sheetName val="240619"/>
    </sheetNames>
    <sheetDataSet>
      <sheetData sheetId="26">
        <row r="6">
          <cell r="G6">
            <v>1127463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"/>
      <sheetName val="грудень 2017"/>
      <sheetName val="грудень-201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динамика"/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822-сф"/>
      <sheetName val="7490-сф"/>
      <sheetName val="220804"/>
      <sheetName val="депозит"/>
      <sheetName val="надх"/>
      <sheetName val="залишки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редити"/>
      <sheetName val="повер ПДФО та трансп"/>
      <sheetName val="2111 з 2003р"/>
      <sheetName val="110202"/>
      <sheetName val="210103"/>
      <sheetName val="220102-сертиф"/>
      <sheetName val="2105"/>
      <sheetName val="24619"/>
      <sheetName val="пайова 2013-2015 10 міс"/>
      <sheetName val="1102 и210103"/>
      <sheetName val="Фонтан Сіті"/>
      <sheetName val="ЧТКЕ"/>
      <sheetName val="Лист5"/>
      <sheetName val="Лист4"/>
      <sheetName val="8842-сф"/>
      <sheetName val="Лист8"/>
      <sheetName val="%% СФ"/>
      <sheetName val="210811-3"/>
      <sheetName val="210815"/>
      <sheetName val="240619"/>
      <sheetName val="240622"/>
      <sheetName val="210805. 535"/>
      <sheetName val="%% СФ. 903"/>
      <sheetName val="220804. 871"/>
      <sheetName val="110202. 861"/>
      <sheetName val="210103. 871"/>
      <sheetName val="2105. 534"/>
      <sheetName val="210815. 561"/>
      <sheetName val="240622. 611"/>
      <sheetName val="Азот и обленерго"/>
    </sheetNames>
    <sheetDataSet>
      <sheetData sheetId="45">
        <row r="6">
          <cell r="G6" t="str">
            <v>авансові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B171"/>
  <sheetViews>
    <sheetView tabSelected="1" zoomScale="69" zoomScaleNormal="69" zoomScalePageLayoutView="0" workbookViewId="0" topLeftCell="B1">
      <pane xSplit="3" ySplit="8" topLeftCell="E102" activePane="bottomRight" state="frozen"/>
      <selection pane="topLeft" activeCell="B1" sqref="B1"/>
      <selection pane="topRight" activeCell="E1" sqref="E1"/>
      <selection pane="bottomLeft" activeCell="B9" sqref="B9"/>
      <selection pane="bottomRight" activeCell="E108" sqref="E10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4.50390625" style="4" customWidth="1"/>
    <col min="24" max="24" width="12.75390625" style="4" customWidth="1"/>
    <col min="25" max="25" width="11.375" style="186" hidden="1" customWidth="1"/>
    <col min="26" max="16384" width="9.125" style="4" customWidth="1"/>
  </cols>
  <sheetData>
    <row r="1" spans="1:25" s="1" customFormat="1" ht="26.25" customHeight="1">
      <c r="A1" s="469" t="s">
        <v>266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  <c r="W1" s="469"/>
      <c r="X1" s="469"/>
      <c r="Y1" s="186"/>
    </row>
    <row r="2" spans="2:25" s="1" customFormat="1" ht="15.75" customHeight="1">
      <c r="B2" s="470"/>
      <c r="C2" s="470"/>
      <c r="D2" s="470"/>
      <c r="E2" s="470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71"/>
      <c r="B3" s="473"/>
      <c r="C3" s="474" t="s">
        <v>0</v>
      </c>
      <c r="D3" s="475" t="s">
        <v>131</v>
      </c>
      <c r="E3" s="475" t="s">
        <v>221</v>
      </c>
      <c r="F3" s="25"/>
      <c r="G3" s="476" t="s">
        <v>26</v>
      </c>
      <c r="H3" s="477"/>
      <c r="I3" s="477"/>
      <c r="J3" s="477"/>
      <c r="K3" s="478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479" t="s">
        <v>262</v>
      </c>
      <c r="V3" s="482" t="s">
        <v>263</v>
      </c>
      <c r="W3" s="482"/>
      <c r="X3" s="482"/>
      <c r="Y3" s="194"/>
    </row>
    <row r="4" spans="1:24" ht="22.5" customHeight="1">
      <c r="A4" s="471"/>
      <c r="B4" s="473"/>
      <c r="C4" s="474"/>
      <c r="D4" s="475"/>
      <c r="E4" s="475"/>
      <c r="F4" s="483" t="s">
        <v>264</v>
      </c>
      <c r="G4" s="485" t="s">
        <v>31</v>
      </c>
      <c r="H4" s="487" t="s">
        <v>260</v>
      </c>
      <c r="I4" s="480" t="s">
        <v>261</v>
      </c>
      <c r="J4" s="487" t="s">
        <v>132</v>
      </c>
      <c r="K4" s="480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0"/>
      <c r="V4" s="489" t="s">
        <v>267</v>
      </c>
      <c r="W4" s="487" t="s">
        <v>44</v>
      </c>
      <c r="X4" s="491" t="s">
        <v>43</v>
      </c>
    </row>
    <row r="5" spans="1:24" ht="67.5" customHeight="1">
      <c r="A5" s="472"/>
      <c r="B5" s="473"/>
      <c r="C5" s="474"/>
      <c r="D5" s="475"/>
      <c r="E5" s="475"/>
      <c r="F5" s="484"/>
      <c r="G5" s="486"/>
      <c r="H5" s="488"/>
      <c r="I5" s="481"/>
      <c r="J5" s="488"/>
      <c r="K5" s="481"/>
      <c r="L5" s="492" t="s">
        <v>135</v>
      </c>
      <c r="M5" s="493"/>
      <c r="N5" s="494"/>
      <c r="O5" s="495" t="s">
        <v>210</v>
      </c>
      <c r="P5" s="496"/>
      <c r="Q5" s="497"/>
      <c r="R5" s="498" t="s">
        <v>265</v>
      </c>
      <c r="S5" s="498"/>
      <c r="T5" s="498"/>
      <c r="U5" s="481"/>
      <c r="V5" s="490"/>
      <c r="W5" s="488"/>
      <c r="X5" s="491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1603250.9</v>
      </c>
      <c r="F8" s="103">
        <f>F9+F15+F18+F19+F23+F17</f>
        <v>1018539.4199999999</v>
      </c>
      <c r="G8" s="103">
        <f>G9+G15+G18+G19+G23+G17</f>
        <v>1016525.0999999999</v>
      </c>
      <c r="H8" s="103">
        <f>G8-F8</f>
        <v>-2014.3200000000652</v>
      </c>
      <c r="I8" s="210">
        <f>#N/A</f>
        <v>0.8923151447589531</v>
      </c>
      <c r="J8" s="104">
        <f>#N/A</f>
        <v>-694392.7499999998</v>
      </c>
      <c r="K8" s="156">
        <f>#N/A</f>
        <v>0.5668845406542421</v>
      </c>
      <c r="L8" s="104"/>
      <c r="M8" s="104"/>
      <c r="N8" s="104"/>
      <c r="O8" s="104">
        <v>1329586.12</v>
      </c>
      <c r="P8" s="104">
        <f>#N/A</f>
        <v>273664.7799999998</v>
      </c>
      <c r="Q8" s="156">
        <f>#N/A</f>
        <v>1.2058270433809881</v>
      </c>
      <c r="R8" s="103">
        <v>838073.48</v>
      </c>
      <c r="S8" s="103">
        <f>#N/A</f>
        <v>70784.67000000016</v>
      </c>
      <c r="T8" s="143">
        <f>#N/A</f>
        <v>1.084461173977251</v>
      </c>
      <c r="U8" s="103">
        <f>U9+U15+U18+U19+U23+U17</f>
        <v>141804.16999999987</v>
      </c>
      <c r="V8" s="103">
        <f>V9+V15+V18+V19+V23+V17</f>
        <v>110142.50999999997</v>
      </c>
      <c r="W8" s="103">
        <f>V8-U8</f>
        <v>-31661.6599999999</v>
      </c>
      <c r="X8" s="143">
        <f>#N/A</f>
        <v>0.017457596627800772</v>
      </c>
      <c r="Y8" s="199">
        <f>#N/A</f>
        <v>-0.12136586940373717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f>956203+20517.1</f>
        <v>976720.1</v>
      </c>
      <c r="F9" s="102">
        <v>598779.95</v>
      </c>
      <c r="G9" s="106">
        <v>612091.2</v>
      </c>
      <c r="H9" s="102">
        <f>G9-F9</f>
        <v>13311.25</v>
      </c>
      <c r="I9" s="208">
        <f>#N/A</f>
        <v>0.916826456864496</v>
      </c>
      <c r="J9" s="108">
        <f>#N/A</f>
        <v>-427742.79999999993</v>
      </c>
      <c r="K9" s="148">
        <f>#N/A</f>
        <v>0.5620620482777001</v>
      </c>
      <c r="L9" s="108"/>
      <c r="M9" s="108"/>
      <c r="N9" s="108"/>
      <c r="O9" s="108">
        <v>775821.8</v>
      </c>
      <c r="P9" s="108">
        <f>#N/A</f>
        <v>200898.29999999993</v>
      </c>
      <c r="Q9" s="148">
        <f>#N/A</f>
        <v>1.2589490266965944</v>
      </c>
      <c r="R9" s="115">
        <v>484780.28</v>
      </c>
      <c r="S9" s="109">
        <f>#N/A</f>
        <v>64197.02000000002</v>
      </c>
      <c r="T9" s="144">
        <f>#N/A</f>
        <v>1.132424982303323</v>
      </c>
      <c r="U9" s="107">
        <f>F9-липень!F9</f>
        <v>79939.99999999994</v>
      </c>
      <c r="V9" s="110">
        <f>G9-липень!G9</f>
        <v>64104.84999999998</v>
      </c>
      <c r="W9" s="111">
        <f>V9-U9</f>
        <v>-15835.149999999965</v>
      </c>
      <c r="X9" s="148">
        <f>#N/A</f>
        <v>0.012396172129097705</v>
      </c>
      <c r="Y9" s="200">
        <f>#N/A</f>
        <v>-0.12652404439327136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881803+20517.1</f>
        <v>902320.1</v>
      </c>
      <c r="F10" s="71">
        <v>547986.91</v>
      </c>
      <c r="G10" s="94">
        <v>499813.46</v>
      </c>
      <c r="H10" s="71">
        <f>#N/A</f>
        <v>-48173.45000000001</v>
      </c>
      <c r="I10" s="209">
        <f>#N/A</f>
        <v>0.9120901446350242</v>
      </c>
      <c r="J10" s="72">
        <f>#N/A</f>
        <v>-402506.63999999996</v>
      </c>
      <c r="K10" s="75">
        <f>#N/A</f>
        <v>0.553920343789305</v>
      </c>
      <c r="L10" s="72"/>
      <c r="M10" s="72"/>
      <c r="N10" s="72"/>
      <c r="O10" s="72">
        <v>709899.75</v>
      </c>
      <c r="P10" s="72">
        <f>#N/A</f>
        <v>192420.34999999998</v>
      </c>
      <c r="Q10" s="75">
        <f>#N/A</f>
        <v>1.2710528493635898</v>
      </c>
      <c r="R10" s="74">
        <v>443777.53</v>
      </c>
      <c r="S10" s="74">
        <f>#N/A</f>
        <v>56035.92999999999</v>
      </c>
      <c r="T10" s="145">
        <f>#N/A</f>
        <v>1.1262703183732623</v>
      </c>
      <c r="U10" s="107">
        <f>F10-липень!F10</f>
        <v>74100.00000000006</v>
      </c>
      <c r="V10" s="110">
        <f>G10-липень!G10</f>
        <v>0</v>
      </c>
      <c r="W10" s="74">
        <f>#N/A</f>
        <v>-74100.00000000006</v>
      </c>
      <c r="X10" s="75">
        <f>#N/A</f>
        <v>0</v>
      </c>
      <c r="Y10" s="198">
        <f>#N/A</f>
        <v>-0.14478253099032745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33362</v>
      </c>
      <c r="G11" s="94">
        <v>30157.62</v>
      </c>
      <c r="H11" s="71">
        <f>#N/A</f>
        <v>-3204.380000000001</v>
      </c>
      <c r="I11" s="209">
        <f>#N/A</f>
        <v>0.903951201966309</v>
      </c>
      <c r="J11" s="72">
        <f>#N/A</f>
        <v>-19742.38</v>
      </c>
      <c r="K11" s="75">
        <f>#N/A</f>
        <v>0.604361122244489</v>
      </c>
      <c r="L11" s="72"/>
      <c r="M11" s="72"/>
      <c r="N11" s="72"/>
      <c r="O11" s="72">
        <v>42516.41</v>
      </c>
      <c r="P11" s="72">
        <f>#N/A</f>
        <v>7383.5899999999965</v>
      </c>
      <c r="Q11" s="75">
        <f>#N/A</f>
        <v>1.1736644744934954</v>
      </c>
      <c r="R11" s="74">
        <v>26169.54</v>
      </c>
      <c r="S11" s="74">
        <f>#N/A</f>
        <v>3988.079999999998</v>
      </c>
      <c r="T11" s="145">
        <f>#N/A</f>
        <v>1.1523939664205025</v>
      </c>
      <c r="U11" s="107">
        <f>F11-липень!F11</f>
        <v>4085</v>
      </c>
      <c r="V11" s="110">
        <f>G11-липень!G11</f>
        <v>0</v>
      </c>
      <c r="W11" s="74">
        <f>#N/A</f>
        <v>-4085</v>
      </c>
      <c r="X11" s="75">
        <f>#N/A</f>
        <v>0</v>
      </c>
      <c r="Y11" s="198">
        <f>#N/A</f>
        <v>-0.02127050807299291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8472.41</v>
      </c>
      <c r="G12" s="94">
        <v>9581.47</v>
      </c>
      <c r="H12" s="71">
        <f>#N/A</f>
        <v>1109.0599999999995</v>
      </c>
      <c r="I12" s="209">
        <f>#N/A</f>
        <v>1.130902541307609</v>
      </c>
      <c r="J12" s="72">
        <f>#N/A</f>
        <v>-2418.5300000000007</v>
      </c>
      <c r="K12" s="75">
        <f>#N/A</f>
        <v>0.7984558333333333</v>
      </c>
      <c r="L12" s="72"/>
      <c r="M12" s="72"/>
      <c r="N12" s="72"/>
      <c r="O12" s="72">
        <v>11992.15</v>
      </c>
      <c r="P12" s="72">
        <f>#N/A</f>
        <v>7.850000000000364</v>
      </c>
      <c r="Q12" s="75">
        <f>#N/A</f>
        <v>1.0006545948808179</v>
      </c>
      <c r="R12" s="74">
        <v>6628.28</v>
      </c>
      <c r="S12" s="74">
        <f>#N/A</f>
        <v>2953.1899999999996</v>
      </c>
      <c r="T12" s="145">
        <f>#N/A</f>
        <v>1.4455439420181404</v>
      </c>
      <c r="U12" s="107">
        <f>F12-липень!F12</f>
        <v>1052</v>
      </c>
      <c r="V12" s="110">
        <f>G12-липень!G12</f>
        <v>0</v>
      </c>
      <c r="W12" s="74">
        <f>#N/A</f>
        <v>-1052</v>
      </c>
      <c r="X12" s="75">
        <f>#N/A</f>
        <v>0</v>
      </c>
      <c r="Y12" s="198">
        <f>#N/A</f>
        <v>0.44488934713732253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8582</v>
      </c>
      <c r="G13" s="94">
        <v>8126.18</v>
      </c>
      <c r="H13" s="71">
        <f>#N/A</f>
        <v>-455.8199999999997</v>
      </c>
      <c r="I13" s="209">
        <f>#N/A</f>
        <v>0.9468865066418085</v>
      </c>
      <c r="J13" s="72">
        <f>#N/A</f>
        <v>-3873.8199999999997</v>
      </c>
      <c r="K13" s="75">
        <f>#N/A</f>
        <v>0.6771816666666667</v>
      </c>
      <c r="L13" s="72"/>
      <c r="M13" s="72"/>
      <c r="N13" s="72"/>
      <c r="O13" s="72">
        <v>10036.81</v>
      </c>
      <c r="P13" s="72">
        <f>#N/A</f>
        <v>1963.1900000000005</v>
      </c>
      <c r="Q13" s="75">
        <f>#N/A</f>
        <v>1.195599000080703</v>
      </c>
      <c r="R13" s="74">
        <v>7275.46</v>
      </c>
      <c r="S13" s="74">
        <f>#N/A</f>
        <v>850.7200000000003</v>
      </c>
      <c r="T13" s="145">
        <f>#N/A</f>
        <v>1.1169300635286292</v>
      </c>
      <c r="U13" s="107">
        <f>F13-липень!F13</f>
        <v>670</v>
      </c>
      <c r="V13" s="110">
        <f>G13-липень!G13</f>
        <v>0</v>
      </c>
      <c r="W13" s="74">
        <f>#N/A</f>
        <v>-670</v>
      </c>
      <c r="X13" s="75">
        <f>#N/A</f>
        <v>0</v>
      </c>
      <c r="Y13" s="198">
        <f>#N/A</f>
        <v>-0.07866893655207385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376.63</v>
      </c>
      <c r="G14" s="94">
        <v>307.62</v>
      </c>
      <c r="H14" s="71">
        <f>#N/A</f>
        <v>-69.00999999999999</v>
      </c>
      <c r="I14" s="209">
        <f>#N/A</f>
        <v>0.8167697740488012</v>
      </c>
      <c r="J14" s="72">
        <f>#N/A</f>
        <v>-192.38</v>
      </c>
      <c r="K14" s="75">
        <f>#N/A</f>
        <v>0.61524</v>
      </c>
      <c r="L14" s="72"/>
      <c r="M14" s="72"/>
      <c r="N14" s="72"/>
      <c r="O14" s="72">
        <v>1376.68</v>
      </c>
      <c r="P14" s="72">
        <f>#N/A</f>
        <v>-876.6800000000001</v>
      </c>
      <c r="Q14" s="75">
        <f>#N/A</f>
        <v>0.36319260830403577</v>
      </c>
      <c r="R14" s="74">
        <v>929.47</v>
      </c>
      <c r="S14" s="74">
        <f>#N/A</f>
        <v>-621.85</v>
      </c>
      <c r="T14" s="145">
        <f>#N/A</f>
        <v>0.3309628067608422</v>
      </c>
      <c r="U14" s="107">
        <f>F14-липень!F14</f>
        <v>33</v>
      </c>
      <c r="V14" s="110">
        <f>G14-липень!G14</f>
        <v>0</v>
      </c>
      <c r="W14" s="74">
        <f>#N/A</f>
        <v>-33</v>
      </c>
      <c r="X14" s="75">
        <f>#N/A</f>
        <v>0</v>
      </c>
      <c r="Y14" s="198">
        <f>#N/A</f>
        <v>-0.03222980154319355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565</v>
      </c>
      <c r="G15" s="106">
        <v>1620</v>
      </c>
      <c r="H15" s="102">
        <f>#N/A</f>
        <v>477.18000000000006</v>
      </c>
      <c r="I15" s="208">
        <f>#N/A</f>
        <v>1.844566371681416</v>
      </c>
      <c r="J15" s="108">
        <f>#N/A</f>
        <v>142.18000000000006</v>
      </c>
      <c r="K15" s="108">
        <f>#N/A</f>
        <v>115.79777777777778</v>
      </c>
      <c r="L15" s="108"/>
      <c r="M15" s="108"/>
      <c r="N15" s="108"/>
      <c r="O15" s="108">
        <v>887.61</v>
      </c>
      <c r="P15" s="108">
        <f>#N/A</f>
        <v>12.389999999999986</v>
      </c>
      <c r="Q15" s="148">
        <f>#N/A</f>
        <v>1.0139588332713692</v>
      </c>
      <c r="R15" s="111">
        <v>325.81</v>
      </c>
      <c r="S15" s="111">
        <f>#N/A</f>
        <v>716.3700000000001</v>
      </c>
      <c r="T15" s="146">
        <f>#N/A</f>
        <v>3.19873545931678</v>
      </c>
      <c r="U15" s="107">
        <f>F15-липень!F15</f>
        <v>200</v>
      </c>
      <c r="V15" s="110">
        <f>G15-липень!G15</f>
        <v>577.8199999999999</v>
      </c>
      <c r="W15" s="111">
        <f>#N/A</f>
        <v>-200</v>
      </c>
      <c r="X15" s="154">
        <f>#N/A</f>
        <v>0</v>
      </c>
      <c r="Y15" s="197">
        <f>#N/A</f>
        <v>2.1847766260454105</v>
      </c>
    </row>
    <row r="16" spans="1:25" s="6" customFormat="1" ht="18" customHeight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>#N/A</f>
        <v>0</v>
      </c>
      <c r="I16" s="208" t="e">
        <f>G16/F16/100</f>
        <v>#DIV/0!</v>
      </c>
      <c r="J16" s="108">
        <f>#N/A</f>
        <v>0</v>
      </c>
      <c r="K16" s="108" t="e">
        <f>#N/A</f>
        <v>#DIV/0!</v>
      </c>
      <c r="L16" s="108"/>
      <c r="M16" s="108"/>
      <c r="N16" s="108"/>
      <c r="O16" s="108"/>
      <c r="P16" s="108">
        <f>#N/A</f>
        <v>0</v>
      </c>
      <c r="Q16" s="148" t="e">
        <f>#N/A</f>
        <v>#DIV/0!</v>
      </c>
      <c r="R16" s="111">
        <f>O16</f>
        <v>0</v>
      </c>
      <c r="S16" s="111">
        <f>#N/A</f>
        <v>0</v>
      </c>
      <c r="T16" s="146" t="e">
        <f>#N/A</f>
        <v>#DIV/0!</v>
      </c>
      <c r="U16" s="107">
        <f>F16-липень!F16</f>
        <v>0</v>
      </c>
      <c r="V16" s="110">
        <f>G16-липень!G16</f>
        <v>0</v>
      </c>
      <c r="W16" s="111">
        <f>#N/A</f>
        <v>0</v>
      </c>
      <c r="X16" s="154" t="e">
        <f>#N/A</f>
        <v>#DIV/0!</v>
      </c>
      <c r="Y16" s="197" t="e">
        <f>#N/A</f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>#N/A</f>
        <v>0</v>
      </c>
      <c r="I17" s="208"/>
      <c r="J17" s="108">
        <f>#N/A</f>
        <v>0</v>
      </c>
      <c r="K17" s="108"/>
      <c r="L17" s="108"/>
      <c r="M17" s="108"/>
      <c r="N17" s="108"/>
      <c r="O17" s="108">
        <v>0.49</v>
      </c>
      <c r="P17" s="108">
        <f>#N/A</f>
        <v>-0.49</v>
      </c>
      <c r="Q17" s="148">
        <f>#N/A</f>
        <v>0</v>
      </c>
      <c r="R17" s="111">
        <v>0.45</v>
      </c>
      <c r="S17" s="111">
        <f>#N/A</f>
        <v>-0.45</v>
      </c>
      <c r="T17" s="146">
        <f>#N/A</f>
        <v>0</v>
      </c>
      <c r="U17" s="107">
        <f>F17-липень!F17</f>
        <v>0</v>
      </c>
      <c r="V17" s="110">
        <f>G17-липень!G17</f>
        <v>0</v>
      </c>
      <c r="W17" s="111">
        <f>#N/A</f>
        <v>0</v>
      </c>
      <c r="X17" s="154" t="e">
        <f>#N/A</f>
        <v>#DIV/0!</v>
      </c>
      <c r="Y17" s="197">
        <f>#N/A</f>
        <v>0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168.5</v>
      </c>
      <c r="G18" s="106">
        <v>224.2</v>
      </c>
      <c r="H18" s="102">
        <f>#N/A</f>
        <v>25.74000000000001</v>
      </c>
      <c r="I18" s="208">
        <f>#N/A</f>
        <v>1.152759643916914</v>
      </c>
      <c r="J18" s="108">
        <f>#N/A</f>
        <v>-41.359999999999985</v>
      </c>
      <c r="K18" s="108">
        <f>#N/A</f>
        <v>82.44482173174873</v>
      </c>
      <c r="L18" s="108"/>
      <c r="M18" s="108"/>
      <c r="N18" s="108"/>
      <c r="O18" s="108">
        <v>220.59</v>
      </c>
      <c r="P18" s="108">
        <f>#N/A</f>
        <v>15.009999999999991</v>
      </c>
      <c r="Q18" s="148">
        <f>#N/A</f>
        <v>1.0680447889750215</v>
      </c>
      <c r="R18" s="111">
        <v>147.46</v>
      </c>
      <c r="S18" s="111">
        <f>#N/A</f>
        <v>46.78</v>
      </c>
      <c r="T18" s="146">
        <f>#N/A</f>
        <v>1.3172385731723857</v>
      </c>
      <c r="U18" s="107">
        <f>F18-липень!F18</f>
        <v>28</v>
      </c>
      <c r="V18" s="110">
        <f>G18-липень!G18</f>
        <v>29.95999999999998</v>
      </c>
      <c r="W18" s="111">
        <f>#N/A</f>
        <v>-28</v>
      </c>
      <c r="X18" s="154">
        <f>#N/A</f>
        <v>0</v>
      </c>
      <c r="Y18" s="197">
        <f>#N/A</f>
        <v>0.24919378419736415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v>96806</v>
      </c>
      <c r="G19" s="158">
        <v>67281.1</v>
      </c>
      <c r="H19" s="102">
        <f>#N/A</f>
        <v>-32507.199999999997</v>
      </c>
      <c r="I19" s="208">
        <f>#N/A</f>
        <v>0.6642026320682602</v>
      </c>
      <c r="J19" s="108">
        <f>#N/A</f>
        <v>-87429.2</v>
      </c>
      <c r="K19" s="108">
        <f>#N/A</f>
        <v>42.3776758409786</v>
      </c>
      <c r="L19" s="108"/>
      <c r="M19" s="108"/>
      <c r="N19" s="108"/>
      <c r="O19" s="108">
        <v>121950.14</v>
      </c>
      <c r="P19" s="108">
        <f>#N/A</f>
        <v>29777.86</v>
      </c>
      <c r="Q19" s="148">
        <f>#N/A</f>
        <v>1.2441806134867905</v>
      </c>
      <c r="R19" s="111">
        <v>64718.53</v>
      </c>
      <c r="S19" s="111">
        <f>#N/A</f>
        <v>-419.7299999999959</v>
      </c>
      <c r="T19" s="146">
        <f>#N/A</f>
        <v>0.9935145313096574</v>
      </c>
      <c r="U19" s="107">
        <f>F19-липень!F19</f>
        <v>14197</v>
      </c>
      <c r="V19" s="110">
        <f>G19-липень!G19</f>
        <v>2983.770000000004</v>
      </c>
      <c r="W19" s="111">
        <f>#N/A</f>
        <v>-14195.529999999999</v>
      </c>
      <c r="X19" s="148">
        <f>#N/A</f>
        <v>0.00010354300204276707</v>
      </c>
      <c r="Y19" s="197">
        <f>#N/A</f>
        <v>-0.25066608217713315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41006</v>
      </c>
      <c r="G20" s="141">
        <v>34721.8</v>
      </c>
      <c r="H20" s="170">
        <f>#N/A</f>
        <v>-9266.5</v>
      </c>
      <c r="I20" s="211">
        <f>#N/A</f>
        <v>0.7740208749939034</v>
      </c>
      <c r="J20" s="171">
        <f>#N/A</f>
        <v>-34968.5</v>
      </c>
      <c r="K20" s="171">
        <f>#N/A</f>
        <v>47.579750554656115</v>
      </c>
      <c r="L20" s="171"/>
      <c r="M20" s="171"/>
      <c r="N20" s="171"/>
      <c r="O20" s="171">
        <v>60736.45</v>
      </c>
      <c r="P20" s="171">
        <f>#N/A</f>
        <v>5971.550000000003</v>
      </c>
      <c r="Q20" s="180">
        <f>#N/A</f>
        <v>1.098319048940134</v>
      </c>
      <c r="R20" s="116">
        <v>41666.15</v>
      </c>
      <c r="S20" s="116">
        <f>#N/A</f>
        <v>-9926.650000000001</v>
      </c>
      <c r="T20" s="172">
        <f>#N/A</f>
        <v>0.7617574457923278</v>
      </c>
      <c r="U20" s="136">
        <f>F20-липень!F20</f>
        <v>6997</v>
      </c>
      <c r="V20" s="124">
        <f>G20-липень!G20</f>
        <v>2983.7000000000044</v>
      </c>
      <c r="W20" s="116">
        <f>#N/A</f>
        <v>-6995.5999999999985</v>
      </c>
      <c r="X20" s="180">
        <f>#N/A</f>
        <v>0.00020008575103636634</v>
      </c>
      <c r="Y20" s="198">
        <f>#N/A</f>
        <v>-0.33656160314780614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10400</v>
      </c>
      <c r="G21" s="141">
        <v>6880.51</v>
      </c>
      <c r="H21" s="170">
        <f>#N/A</f>
        <v>-3519.49</v>
      </c>
      <c r="I21" s="211">
        <f>#N/A</f>
        <v>0.6615875</v>
      </c>
      <c r="J21" s="171">
        <f>#N/A</f>
        <v>-8815.49</v>
      </c>
      <c r="K21" s="171">
        <f>#N/A</f>
        <v>43.836072884811415</v>
      </c>
      <c r="L21" s="171"/>
      <c r="M21" s="171"/>
      <c r="N21" s="171"/>
      <c r="O21" s="171">
        <v>12528.71</v>
      </c>
      <c r="P21" s="171">
        <f>#N/A</f>
        <v>3167.290000000001</v>
      </c>
      <c r="Q21" s="180">
        <f>#N/A</f>
        <v>1.2528025630731336</v>
      </c>
      <c r="R21" s="116">
        <v>4942.32</v>
      </c>
      <c r="S21" s="116">
        <f>#N/A</f>
        <v>1938.1900000000005</v>
      </c>
      <c r="T21" s="172">
        <f>#N/A</f>
        <v>1.3921619806082974</v>
      </c>
      <c r="U21" s="136">
        <f>F21-липень!F21</f>
        <v>1300</v>
      </c>
      <c r="V21" s="124">
        <f>G21-липень!G21</f>
        <v>0</v>
      </c>
      <c r="W21" s="116">
        <f>#N/A</f>
        <v>-1300</v>
      </c>
      <c r="X21" s="180">
        <f>#N/A</f>
        <v>0</v>
      </c>
      <c r="Y21" s="198">
        <f>#N/A</f>
        <v>0.1393594175351638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45400</v>
      </c>
      <c r="G22" s="141">
        <v>25678.72</v>
      </c>
      <c r="H22" s="170">
        <f>#N/A</f>
        <v>-19721.28</v>
      </c>
      <c r="I22" s="211">
        <f>#N/A</f>
        <v>0.5656105726872247</v>
      </c>
      <c r="J22" s="171">
        <f>#N/A</f>
        <v>-43645.28</v>
      </c>
      <c r="K22" s="171">
        <f>#N/A</f>
        <v>37.04160175408228</v>
      </c>
      <c r="L22" s="171"/>
      <c r="M22" s="171"/>
      <c r="N22" s="171"/>
      <c r="O22" s="171">
        <v>48684.98</v>
      </c>
      <c r="P22" s="171">
        <f>#N/A</f>
        <v>20639.019999999997</v>
      </c>
      <c r="Q22" s="180">
        <f>#N/A</f>
        <v>1.4239299266426728</v>
      </c>
      <c r="R22" s="116">
        <v>18110.05</v>
      </c>
      <c r="S22" s="116">
        <f>#N/A</f>
        <v>7568.670000000002</v>
      </c>
      <c r="T22" s="172">
        <f>#N/A</f>
        <v>1.4179265104182486</v>
      </c>
      <c r="U22" s="136">
        <f>F22-липень!F22</f>
        <v>5900</v>
      </c>
      <c r="V22" s="124">
        <f>G22-липень!G22</f>
        <v>0</v>
      </c>
      <c r="W22" s="116">
        <f>#N/A</f>
        <v>-5900</v>
      </c>
      <c r="X22" s="180">
        <f>#N/A</f>
        <v>0</v>
      </c>
      <c r="Y22" s="198">
        <f>#N/A</f>
        <v>-0.006003416224424241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473667.19999999995</v>
      </c>
      <c r="F23" s="102">
        <f>F24+F43+F47+F42+F46</f>
        <v>322219.97</v>
      </c>
      <c r="G23" s="158">
        <f>G24+G42+G43+G46+G47</f>
        <v>335308.6</v>
      </c>
      <c r="H23" s="102">
        <f>#N/A</f>
        <v>-27874.339999999967</v>
      </c>
      <c r="I23" s="208">
        <f>#N/A</f>
        <v>0.9134928229308693</v>
      </c>
      <c r="J23" s="108">
        <f>#N/A</f>
        <v>-179321.56999999995</v>
      </c>
      <c r="K23" s="108">
        <f>#N/A</f>
        <v>62.141864583403716</v>
      </c>
      <c r="L23" s="108"/>
      <c r="M23" s="108"/>
      <c r="N23" s="108"/>
      <c r="O23" s="108">
        <v>430705.5</v>
      </c>
      <c r="P23" s="108">
        <f>#N/A</f>
        <v>42961.69999999995</v>
      </c>
      <c r="Q23" s="148">
        <f>#N/A</f>
        <v>1.099747275110255</v>
      </c>
      <c r="R23" s="108">
        <v>288100.92</v>
      </c>
      <c r="S23" s="111">
        <f>#N/A</f>
        <v>6244.710000000021</v>
      </c>
      <c r="T23" s="147">
        <f>#N/A</f>
        <v>1.0216754254030151</v>
      </c>
      <c r="U23" s="107">
        <f>F23-липень!F23</f>
        <v>47439.169999999925</v>
      </c>
      <c r="V23" s="110">
        <f>G23-липень!G23</f>
        <v>42446.109999999986</v>
      </c>
      <c r="W23" s="111">
        <f>#N/A</f>
        <v>-45956.02999999991</v>
      </c>
      <c r="X23" s="148">
        <f>#N/A</f>
        <v>0.03126403771398227</v>
      </c>
      <c r="Y23" s="197">
        <f>T23-Q23</f>
        <v>-0.0780718497072399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143136.18</v>
      </c>
      <c r="G24" s="158">
        <f>G25+G32+G35</f>
        <v>148978.2</v>
      </c>
      <c r="H24" s="102">
        <f>#N/A</f>
        <v>-2773.720000000001</v>
      </c>
      <c r="I24" s="208">
        <f>#N/A</f>
        <v>0.9806218106421452</v>
      </c>
      <c r="J24" s="108">
        <f>#N/A</f>
        <v>-76479.54000000001</v>
      </c>
      <c r="K24" s="148">
        <f>#N/A</f>
        <v>0.6473029210208354</v>
      </c>
      <c r="L24" s="108"/>
      <c r="M24" s="108"/>
      <c r="N24" s="108"/>
      <c r="O24" s="108">
        <v>207231.03</v>
      </c>
      <c r="P24" s="108">
        <f>#N/A</f>
        <v>9610.970000000001</v>
      </c>
      <c r="Q24" s="148">
        <f>#N/A</f>
        <v>1.0463780448323787</v>
      </c>
      <c r="R24" s="108">
        <v>137155.66</v>
      </c>
      <c r="S24" s="111">
        <f>#N/A</f>
        <v>3206.7999999999884</v>
      </c>
      <c r="T24" s="147">
        <f>#N/A</f>
        <v>1.02338073397773</v>
      </c>
      <c r="U24" s="107">
        <f>F24-липень!F24</f>
        <v>18408.169999999984</v>
      </c>
      <c r="V24" s="110">
        <f>G24-липень!G24</f>
        <v>8913.700000000012</v>
      </c>
      <c r="W24" s="111">
        <f>#N/A</f>
        <v>-18110.209999999992</v>
      </c>
      <c r="X24" s="148">
        <f>#N/A</f>
        <v>0.01618629119570235</v>
      </c>
      <c r="Y24" s="197">
        <f>#N/A</f>
        <v>-0.022997310854648623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19682.5</v>
      </c>
      <c r="G25" s="141">
        <v>23717.1</v>
      </c>
      <c r="H25" s="170">
        <f>#N/A</f>
        <v>2955.7000000000007</v>
      </c>
      <c r="I25" s="211">
        <f>#N/A</f>
        <v>1.1501689317922013</v>
      </c>
      <c r="J25" s="171">
        <f>#N/A</f>
        <v>-6145.799999999999</v>
      </c>
      <c r="K25" s="180">
        <f>#N/A</f>
        <v>0.7864855475264035</v>
      </c>
      <c r="L25" s="171"/>
      <c r="M25" s="171"/>
      <c r="N25" s="171"/>
      <c r="O25" s="171">
        <v>25414.16</v>
      </c>
      <c r="P25" s="171">
        <f>#N/A</f>
        <v>3369.84</v>
      </c>
      <c r="Q25" s="180">
        <f>#N/A</f>
        <v>1.1325969459545386</v>
      </c>
      <c r="R25" s="179">
        <v>16900.15</v>
      </c>
      <c r="S25" s="116">
        <f>#N/A</f>
        <v>5738.049999999999</v>
      </c>
      <c r="T25" s="152">
        <f>#N/A</f>
        <v>1.3395265722493586</v>
      </c>
      <c r="U25" s="136">
        <f>F25-липень!F25</f>
        <v>1444</v>
      </c>
      <c r="V25" s="124">
        <f>G25-липень!G25</f>
        <v>1125.4199999999983</v>
      </c>
      <c r="W25" s="116">
        <f>#N/A</f>
        <v>-1397.4799999999996</v>
      </c>
      <c r="X25" s="180">
        <f>#N/A</f>
        <v>0.032216066481994765</v>
      </c>
      <c r="Y25" s="197">
        <f>#N/A</f>
        <v>0.20692962629481992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770.6099999999999</v>
      </c>
      <c r="G26" s="139">
        <f>G28+G29</f>
        <v>2341.1</v>
      </c>
      <c r="H26" s="158">
        <f>#N/A</f>
        <v>1570.49</v>
      </c>
      <c r="I26" s="212">
        <f>#N/A</f>
        <v>3.0379828966662776</v>
      </c>
      <c r="J26" s="176">
        <f>#N/A</f>
        <v>819.0999999999999</v>
      </c>
      <c r="K26" s="191">
        <f>#N/A</f>
        <v>1.538173455978975</v>
      </c>
      <c r="L26" s="176"/>
      <c r="M26" s="176"/>
      <c r="N26" s="176"/>
      <c r="O26" s="176">
        <f>O28+O29</f>
        <v>1512.89</v>
      </c>
      <c r="P26" s="176">
        <f>#N/A</f>
        <v>9.1099999999999</v>
      </c>
      <c r="Q26" s="191">
        <f>#N/A</f>
        <v>1.006021587821983</v>
      </c>
      <c r="R26" s="140">
        <f>R28+R29</f>
        <v>822.9499999999999</v>
      </c>
      <c r="S26" s="201">
        <f>#N/A</f>
        <v>1518.15</v>
      </c>
      <c r="T26" s="162">
        <f>#N/A</f>
        <v>2.8447657816392247</v>
      </c>
      <c r="U26" s="167">
        <f>F26-липень!F26</f>
        <v>273.9999999999999</v>
      </c>
      <c r="V26" s="167">
        <f>G26-липень!G26</f>
        <v>0</v>
      </c>
      <c r="W26" s="176">
        <f>#N/A</f>
        <v>-273.9999999999999</v>
      </c>
      <c r="X26" s="191">
        <f>#N/A</f>
        <v>0</v>
      </c>
      <c r="Y26" s="197">
        <f>#N/A</f>
        <v>1.8387441938172417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18911.89</v>
      </c>
      <c r="G27" s="139">
        <f>G30+G31</f>
        <v>20250.59</v>
      </c>
      <c r="H27" s="158">
        <f>#N/A</f>
        <v>1338.7000000000007</v>
      </c>
      <c r="I27" s="212">
        <f>#N/A</f>
        <v>1.0707861562223553</v>
      </c>
      <c r="J27" s="176">
        <f>#N/A</f>
        <v>-7011.41</v>
      </c>
      <c r="K27" s="191">
        <f>#N/A</f>
        <v>0.7428138067639939</v>
      </c>
      <c r="L27" s="176"/>
      <c r="M27" s="176"/>
      <c r="N27" s="176"/>
      <c r="O27" s="176">
        <f>O30+O31</f>
        <v>23901.28</v>
      </c>
      <c r="P27" s="176">
        <f>#N/A</f>
        <v>3360.720000000001</v>
      </c>
      <c r="Q27" s="191">
        <f>#N/A</f>
        <v>1.1406083690915299</v>
      </c>
      <c r="R27" s="140">
        <f>R30+R31</f>
        <v>16077.2</v>
      </c>
      <c r="S27" s="201">
        <f>#N/A</f>
        <v>4173.389999999999</v>
      </c>
      <c r="T27" s="162">
        <f>#N/A</f>
        <v>1.2595843803647402</v>
      </c>
      <c r="U27" s="167">
        <f>F27-липень!F27</f>
        <v>1170</v>
      </c>
      <c r="V27" s="167">
        <f>G27-липень!G27</f>
        <v>0</v>
      </c>
      <c r="W27" s="176">
        <f>#N/A</f>
        <v>-1170</v>
      </c>
      <c r="X27" s="191">
        <f>#N/A</f>
        <v>0</v>
      </c>
      <c r="Y27" s="197">
        <f>#N/A</f>
        <v>0.11897601127321034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212.8</v>
      </c>
      <c r="G28" s="206">
        <v>312.43</v>
      </c>
      <c r="H28" s="218">
        <f>#N/A</f>
        <v>99.63</v>
      </c>
      <c r="I28" s="220">
        <f>#N/A</f>
        <v>1.468186090225564</v>
      </c>
      <c r="J28" s="221">
        <f>#N/A</f>
        <v>-3.569999999999993</v>
      </c>
      <c r="K28" s="222">
        <f>#N/A</f>
        <v>0.9887025316455696</v>
      </c>
      <c r="L28" s="176"/>
      <c r="M28" s="176"/>
      <c r="N28" s="176"/>
      <c r="O28" s="221">
        <v>275.91</v>
      </c>
      <c r="P28" s="221">
        <f>#N/A</f>
        <v>40.089999999999975</v>
      </c>
      <c r="Q28" s="222">
        <f>#N/A</f>
        <v>1.1453010039505636</v>
      </c>
      <c r="R28" s="221">
        <v>213.89</v>
      </c>
      <c r="S28" s="221">
        <f>#N/A</f>
        <v>98.54000000000002</v>
      </c>
      <c r="T28" s="222">
        <f>#N/A</f>
        <v>1.4607041002384404</v>
      </c>
      <c r="U28" s="206">
        <f>F28-липень!F28</f>
        <v>5</v>
      </c>
      <c r="V28" s="206">
        <f>G28-липень!G28</f>
        <v>0</v>
      </c>
      <c r="W28" s="221">
        <f>#N/A</f>
        <v>-5</v>
      </c>
      <c r="X28" s="222">
        <f>#N/A</f>
        <v>0</v>
      </c>
      <c r="Y28" s="465">
        <f>#N/A</f>
        <v>0.3154030962878769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557.81</v>
      </c>
      <c r="G29" s="206">
        <v>2028.67</v>
      </c>
      <c r="H29" s="218">
        <f>#N/A</f>
        <v>1470.8600000000001</v>
      </c>
      <c r="I29" s="220">
        <f>#N/A</f>
        <v>3.6368476721464305</v>
      </c>
      <c r="J29" s="221">
        <f>#N/A</f>
        <v>822.6700000000001</v>
      </c>
      <c r="K29" s="222">
        <f>#N/A</f>
        <v>1.6821475953565506</v>
      </c>
      <c r="L29" s="176"/>
      <c r="M29" s="176"/>
      <c r="N29" s="176"/>
      <c r="O29" s="221">
        <v>1236.98</v>
      </c>
      <c r="P29" s="221">
        <f>#N/A</f>
        <v>-30.980000000000018</v>
      </c>
      <c r="Q29" s="222">
        <f>#N/A</f>
        <v>0.9749551326618053</v>
      </c>
      <c r="R29" s="221">
        <v>609.06</v>
      </c>
      <c r="S29" s="221">
        <f>#N/A</f>
        <v>1419.6100000000001</v>
      </c>
      <c r="T29" s="222">
        <f>#N/A</f>
        <v>3.33082126555676</v>
      </c>
      <c r="U29" s="206">
        <f>F29-липень!F29</f>
        <v>268.99999999999994</v>
      </c>
      <c r="V29" s="206">
        <f>G29-липень!G29</f>
        <v>0</v>
      </c>
      <c r="W29" s="221">
        <f>#N/A</f>
        <v>-268.99999999999994</v>
      </c>
      <c r="X29" s="222">
        <f>#N/A</f>
        <v>0</v>
      </c>
      <c r="Y29" s="465">
        <f>#N/A</f>
        <v>2.3558661328949544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1166.09</v>
      </c>
      <c r="G30" s="206">
        <v>2257.79</v>
      </c>
      <c r="H30" s="218">
        <f>#N/A</f>
        <v>1091.7</v>
      </c>
      <c r="I30" s="220">
        <f>#N/A</f>
        <v>1.936205610201614</v>
      </c>
      <c r="J30" s="221">
        <f>#N/A</f>
        <v>-97.21000000000004</v>
      </c>
      <c r="K30" s="222">
        <f>#N/A</f>
        <v>0.9587218683651805</v>
      </c>
      <c r="L30" s="176"/>
      <c r="M30" s="176"/>
      <c r="N30" s="176"/>
      <c r="O30" s="221">
        <v>2220.25</v>
      </c>
      <c r="P30" s="221">
        <f>#N/A</f>
        <v>134.75</v>
      </c>
      <c r="Q30" s="222">
        <f>#N/A</f>
        <v>1.0606913635851818</v>
      </c>
      <c r="R30" s="221">
        <v>723.09</v>
      </c>
      <c r="S30" s="221">
        <f>#N/A</f>
        <v>1534.6999999999998</v>
      </c>
      <c r="T30" s="222">
        <f>#N/A</f>
        <v>3.1224190626339734</v>
      </c>
      <c r="U30" s="206">
        <f>F30-липень!F30</f>
        <v>549.9999999999999</v>
      </c>
      <c r="V30" s="206">
        <f>G30-липень!G30</f>
        <v>0</v>
      </c>
      <c r="W30" s="221">
        <f>#N/A</f>
        <v>-549.9999999999999</v>
      </c>
      <c r="X30" s="222">
        <f>#N/A</f>
        <v>0</v>
      </c>
      <c r="Y30" s="465">
        <f>#N/A</f>
        <v>2.0617276990487916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17745.8</v>
      </c>
      <c r="G31" s="206">
        <v>17992.8</v>
      </c>
      <c r="H31" s="218">
        <f>#N/A</f>
        <v>247</v>
      </c>
      <c r="I31" s="220">
        <f>#N/A</f>
        <v>1.0139187864170678</v>
      </c>
      <c r="J31" s="221">
        <f>#N/A</f>
        <v>-6914.200000000001</v>
      </c>
      <c r="K31" s="222">
        <f>#N/A</f>
        <v>0.7223993254908259</v>
      </c>
      <c r="L31" s="176"/>
      <c r="M31" s="176"/>
      <c r="N31" s="176"/>
      <c r="O31" s="221">
        <v>21681.03</v>
      </c>
      <c r="P31" s="221">
        <f>#N/A</f>
        <v>3225.970000000001</v>
      </c>
      <c r="Q31" s="222">
        <f>#N/A</f>
        <v>1.148792285237371</v>
      </c>
      <c r="R31" s="221">
        <v>15354.11</v>
      </c>
      <c r="S31" s="221">
        <f>#N/A</f>
        <v>2638.6899999999987</v>
      </c>
      <c r="T31" s="222">
        <f>#N/A</f>
        <v>1.1718556139040295</v>
      </c>
      <c r="U31" s="206">
        <f>F31-липень!F31</f>
        <v>620</v>
      </c>
      <c r="V31" s="206">
        <f>G31-липень!G31</f>
        <v>0</v>
      </c>
      <c r="W31" s="221"/>
      <c r="X31" s="222">
        <f>#N/A</f>
        <v>0</v>
      </c>
      <c r="Y31" s="465">
        <f>#N/A</f>
        <v>0.02306332866665839</v>
      </c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201.03</v>
      </c>
      <c r="G32" s="120">
        <v>1129.9</v>
      </c>
      <c r="H32" s="170">
        <f>#N/A</f>
        <v>822.9300000000001</v>
      </c>
      <c r="I32" s="211">
        <f>#N/A</f>
        <v>5.093568124160573</v>
      </c>
      <c r="J32" s="171">
        <f>#N/A</f>
        <v>741.96</v>
      </c>
      <c r="K32" s="180">
        <f>#N/A</f>
        <v>3.631063829787234</v>
      </c>
      <c r="L32" s="171"/>
      <c r="M32" s="171"/>
      <c r="N32" s="171"/>
      <c r="O32" s="171">
        <v>645.26</v>
      </c>
      <c r="P32" s="171">
        <f>#N/A</f>
        <v>-363.26</v>
      </c>
      <c r="Q32" s="180">
        <f>#N/A</f>
        <v>0.43703313393050863</v>
      </c>
      <c r="R32" s="121">
        <v>-5.5</v>
      </c>
      <c r="S32" s="121">
        <f>#N/A</f>
        <v>1029.46</v>
      </c>
      <c r="T32" s="150">
        <f>#N/A</f>
        <v>-186.17454545454547</v>
      </c>
      <c r="U32" s="136">
        <f>F32-липень!F32</f>
        <v>14</v>
      </c>
      <c r="V32" s="124">
        <f>G32-липень!G32</f>
        <v>105.94000000000005</v>
      </c>
      <c r="W32" s="116">
        <f>#N/A</f>
        <v>-14</v>
      </c>
      <c r="X32" s="180">
        <f>#N/A</f>
        <v>0</v>
      </c>
      <c r="Y32" s="198">
        <f>#N/A</f>
        <v>-186.61157858847596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39.85</v>
      </c>
      <c r="G33" s="94">
        <v>521.3</v>
      </c>
      <c r="H33" s="71">
        <f>#N/A</f>
        <v>481.44999999999993</v>
      </c>
      <c r="I33" s="209">
        <f>#N/A</f>
        <v>13.08155583437892</v>
      </c>
      <c r="J33" s="72">
        <f>#N/A</f>
        <v>421.29999999999995</v>
      </c>
      <c r="K33" s="75">
        <f>#N/A</f>
        <v>5.212999999999999</v>
      </c>
      <c r="L33" s="72"/>
      <c r="M33" s="72"/>
      <c r="N33" s="72"/>
      <c r="O33" s="72">
        <v>241.36</v>
      </c>
      <c r="P33" s="72">
        <f>#N/A</f>
        <v>-141.36</v>
      </c>
      <c r="Q33" s="75">
        <f>#N/A</f>
        <v>0.41431885979449784</v>
      </c>
      <c r="R33" s="72">
        <v>-254.41</v>
      </c>
      <c r="S33" s="72">
        <f>#N/A</f>
        <v>775.7099999999999</v>
      </c>
      <c r="T33" s="75">
        <f>#N/A</f>
        <v>-2.049054675523761</v>
      </c>
      <c r="U33" s="73">
        <f>F33-липень!F33</f>
        <v>12</v>
      </c>
      <c r="V33" s="98">
        <f>G33-липень!G33</f>
        <v>0</v>
      </c>
      <c r="W33" s="74">
        <f>#N/A</f>
        <v>-12</v>
      </c>
      <c r="X33" s="75">
        <f>#N/A</f>
        <v>0</v>
      </c>
      <c r="Y33" s="465">
        <f>#N/A</f>
        <v>-2.463373535318259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161.18</v>
      </c>
      <c r="G34" s="94">
        <v>502.66</v>
      </c>
      <c r="H34" s="71">
        <f>#N/A</f>
        <v>341.48</v>
      </c>
      <c r="I34" s="209">
        <f>#N/A</f>
        <v>3.1186251395954834</v>
      </c>
      <c r="J34" s="72">
        <f>#N/A</f>
        <v>320.66</v>
      </c>
      <c r="K34" s="75">
        <f>#N/A</f>
        <v>2.761868131868132</v>
      </c>
      <c r="L34" s="72"/>
      <c r="M34" s="72"/>
      <c r="N34" s="72"/>
      <c r="O34" s="72">
        <v>403.91</v>
      </c>
      <c r="P34" s="72">
        <f>#N/A</f>
        <v>-221.91000000000003</v>
      </c>
      <c r="Q34" s="75">
        <f>#N/A</f>
        <v>0.45059542967492755</v>
      </c>
      <c r="R34" s="72">
        <v>248.92</v>
      </c>
      <c r="S34" s="72">
        <f>#N/A</f>
        <v>253.74000000000004</v>
      </c>
      <c r="T34" s="75">
        <f>#N/A</f>
        <v>2.0193636509722</v>
      </c>
      <c r="U34" s="73">
        <f>F34-липень!F34</f>
        <v>2</v>
      </c>
      <c r="V34" s="98">
        <f>G34-липень!G34</f>
        <v>0</v>
      </c>
      <c r="W34" s="74"/>
      <c r="X34" s="75">
        <f>#N/A</f>
        <v>0</v>
      </c>
      <c r="Y34" s="465">
        <f>#N/A</f>
        <v>1.5687682212972724</v>
      </c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123252.65</v>
      </c>
      <c r="G35" s="120">
        <v>124131.2</v>
      </c>
      <c r="H35" s="102">
        <f>#N/A</f>
        <v>-6552.349999999991</v>
      </c>
      <c r="I35" s="211">
        <f>#N/A</f>
        <v>0.9468380598713294</v>
      </c>
      <c r="J35" s="171">
        <f>#N/A</f>
        <v>-71075.7</v>
      </c>
      <c r="K35" s="180">
        <f>#N/A</f>
        <v>0.6214867714723926</v>
      </c>
      <c r="L35" s="171"/>
      <c r="M35" s="171"/>
      <c r="N35" s="171"/>
      <c r="O35" s="171">
        <v>181171.61</v>
      </c>
      <c r="P35" s="171">
        <f>#N/A</f>
        <v>6604.390000000014</v>
      </c>
      <c r="Q35" s="180">
        <f>#N/A</f>
        <v>1.0364537799272193</v>
      </c>
      <c r="R35" s="122">
        <v>120261.01</v>
      </c>
      <c r="S35" s="122">
        <f>#N/A</f>
        <v>-3560.709999999992</v>
      </c>
      <c r="T35" s="149">
        <f>#N/A</f>
        <v>0.9703918169321878</v>
      </c>
      <c r="U35" s="136">
        <f>F35-липень!F35</f>
        <v>16950.169999999984</v>
      </c>
      <c r="V35" s="124">
        <f>G35-червень!G35</f>
        <v>24535.53</v>
      </c>
      <c r="W35" s="116">
        <f>#N/A</f>
        <v>154.46000000002095</v>
      </c>
      <c r="X35" s="180">
        <f>#N/A</f>
        <v>1.0091125929710452</v>
      </c>
      <c r="Y35" s="198">
        <f>#N/A</f>
        <v>-0.06606196299503153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>#N/A</f>
        <v>60690</v>
      </c>
      <c r="F36" s="139">
        <f>#N/A</f>
        <v>40156.4</v>
      </c>
      <c r="G36" s="139">
        <f>G38+G40</f>
        <v>44465.39000000001</v>
      </c>
      <c r="H36" s="158">
        <f>#N/A</f>
        <v>4308.990000000005</v>
      </c>
      <c r="I36" s="212">
        <f>#N/A</f>
        <v>1.1073051867199253</v>
      </c>
      <c r="J36" s="176">
        <f>#N/A</f>
        <v>-16224.609999999993</v>
      </c>
      <c r="K36" s="191">
        <f>#N/A</f>
        <v>0.7326641950898007</v>
      </c>
      <c r="L36" s="176"/>
      <c r="M36" s="176"/>
      <c r="N36" s="176"/>
      <c r="O36" s="176">
        <f>O38+O40</f>
        <v>58608.68</v>
      </c>
      <c r="P36" s="176">
        <f>#N/A</f>
        <v>2081.3199999999997</v>
      </c>
      <c r="Q36" s="191">
        <f>#N/A</f>
        <v>1.0355121459824723</v>
      </c>
      <c r="R36" s="140">
        <f>R38+R40</f>
        <v>40713.77</v>
      </c>
      <c r="S36" s="140">
        <f>#N/A</f>
        <v>3751.62000000001</v>
      </c>
      <c r="T36" s="162">
        <f>#N/A</f>
        <v>1.0921462198170302</v>
      </c>
      <c r="U36" s="167">
        <f>F36-червень!F36</f>
        <v>10637.169999999998</v>
      </c>
      <c r="V36" s="167">
        <f>G36-липень!G36</f>
        <v>0</v>
      </c>
      <c r="W36" s="176">
        <f>#N/A</f>
        <v>-10637.169999999998</v>
      </c>
      <c r="X36" s="191">
        <f>#N/A</f>
        <v>0</v>
      </c>
      <c r="Y36" s="197">
        <f>#N/A</f>
        <v>0.056634073834557874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>#N/A</f>
        <v>127086</v>
      </c>
      <c r="F37" s="139">
        <f>#N/A</f>
        <v>83096.25</v>
      </c>
      <c r="G37" s="139">
        <f>#N/A</f>
        <v>71983.46</v>
      </c>
      <c r="H37" s="158">
        <f>#N/A</f>
        <v>-11112.789999999994</v>
      </c>
      <c r="I37" s="212">
        <f>#N/A</f>
        <v>0.8662660469034403</v>
      </c>
      <c r="J37" s="176">
        <f>#N/A</f>
        <v>-55102.53999999999</v>
      </c>
      <c r="K37" s="191">
        <f>#N/A</f>
        <v>0.5664153407928489</v>
      </c>
      <c r="L37" s="176"/>
      <c r="M37" s="176"/>
      <c r="N37" s="176"/>
      <c r="O37" s="176">
        <f>O39+O41</f>
        <v>122562.93000000001</v>
      </c>
      <c r="P37" s="176">
        <f>#N/A</f>
        <v>4523.069999999992</v>
      </c>
      <c r="Q37" s="191">
        <f>#N/A</f>
        <v>1.0369040622641772</v>
      </c>
      <c r="R37" s="140">
        <f>R39+R41</f>
        <v>79547.23999999999</v>
      </c>
      <c r="S37" s="140">
        <f>#N/A</f>
        <v>-7563.779999999984</v>
      </c>
      <c r="T37" s="162">
        <f>#N/A</f>
        <v>0.9049146142594012</v>
      </c>
      <c r="U37" s="167">
        <f>F37-липень!F37</f>
        <v>11600</v>
      </c>
      <c r="V37" s="167">
        <f>G37-липень!G37</f>
        <v>0</v>
      </c>
      <c r="W37" s="176">
        <f>#N/A</f>
        <v>-11600</v>
      </c>
      <c r="X37" s="191">
        <f>V37/U37</f>
        <v>0</v>
      </c>
      <c r="Y37" s="197">
        <f>#N/A</f>
        <v>-0.13198944800477597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37784.4</v>
      </c>
      <c r="G38" s="206">
        <v>42604.66</v>
      </c>
      <c r="H38" s="218">
        <f>#N/A</f>
        <v>4820.260000000002</v>
      </c>
      <c r="I38" s="220">
        <f>#N/A</f>
        <v>1.127572754893554</v>
      </c>
      <c r="J38" s="221">
        <f>#N/A</f>
        <v>-14685.339999999997</v>
      </c>
      <c r="K38" s="222">
        <f>#N/A</f>
        <v>0.7436666084831559</v>
      </c>
      <c r="L38" s="176"/>
      <c r="M38" s="176"/>
      <c r="N38" s="176"/>
      <c r="O38" s="221">
        <v>55246.24</v>
      </c>
      <c r="P38" s="221">
        <f>#N/A</f>
        <v>2043.760000000002</v>
      </c>
      <c r="Q38" s="222">
        <f>#N/A</f>
        <v>1.0369936487985427</v>
      </c>
      <c r="R38" s="221">
        <v>37954.02</v>
      </c>
      <c r="S38" s="221">
        <f>#N/A</f>
        <v>4650.640000000007</v>
      </c>
      <c r="T38" s="222">
        <f>#N/A</f>
        <v>1.1225335287276554</v>
      </c>
      <c r="U38" s="206">
        <f>F38-липень!F38</f>
        <v>4800</v>
      </c>
      <c r="V38" s="206">
        <f>G38-липень!G38</f>
        <v>0</v>
      </c>
      <c r="W38" s="221">
        <f>#N/A</f>
        <v>-4800</v>
      </c>
      <c r="X38" s="222">
        <f>#N/A</f>
        <v>0</v>
      </c>
      <c r="Y38" s="465">
        <f>#N/A</f>
        <v>0.08553987992911272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68393.45</v>
      </c>
      <c r="G39" s="206">
        <v>60237.23</v>
      </c>
      <c r="H39" s="218">
        <f>#N/A</f>
        <v>-8156.219999999994</v>
      </c>
      <c r="I39" s="220">
        <f>#N/A</f>
        <v>0.8807455977144011</v>
      </c>
      <c r="J39" s="221">
        <f>#N/A</f>
        <v>-45748.77</v>
      </c>
      <c r="K39" s="222">
        <f>#N/A</f>
        <v>0.568350819919612</v>
      </c>
      <c r="L39" s="176"/>
      <c r="M39" s="176"/>
      <c r="N39" s="176"/>
      <c r="O39" s="221">
        <v>102196.35</v>
      </c>
      <c r="P39" s="221">
        <f>#N/A</f>
        <v>3789.649999999994</v>
      </c>
      <c r="Q39" s="222">
        <f>#N/A</f>
        <v>1.0370820484293226</v>
      </c>
      <c r="R39" s="221">
        <v>65762.78</v>
      </c>
      <c r="S39" s="221">
        <f>#N/A</f>
        <v>-5525.549999999996</v>
      </c>
      <c r="T39" s="222">
        <f>#N/A</f>
        <v>0.9159775483943958</v>
      </c>
      <c r="U39" s="206">
        <f>F39-липень!F39</f>
        <v>9200</v>
      </c>
      <c r="V39" s="206">
        <f>G39-липень!G39</f>
        <v>0</v>
      </c>
      <c r="W39" s="221">
        <f>#N/A</f>
        <v>-9200</v>
      </c>
      <c r="X39" s="222">
        <f>#N/A</f>
        <v>0</v>
      </c>
      <c r="Y39" s="465">
        <f>#N/A</f>
        <v>-0.12110450003492679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2372</v>
      </c>
      <c r="G40" s="206">
        <v>1860.73</v>
      </c>
      <c r="H40" s="218">
        <f>#N/A</f>
        <v>-511.27</v>
      </c>
      <c r="I40" s="220">
        <f>#N/A</f>
        <v>0.784456155143339</v>
      </c>
      <c r="J40" s="221">
        <f>#N/A</f>
        <v>-1539.27</v>
      </c>
      <c r="K40" s="222">
        <f>#N/A</f>
        <v>0.5472735294117647</v>
      </c>
      <c r="L40" s="176"/>
      <c r="M40" s="176"/>
      <c r="N40" s="176"/>
      <c r="O40" s="221">
        <v>3362.44</v>
      </c>
      <c r="P40" s="221">
        <f>#N/A</f>
        <v>37.559999999999945</v>
      </c>
      <c r="Q40" s="222">
        <f>#N/A</f>
        <v>1.0111704595472335</v>
      </c>
      <c r="R40" s="221">
        <v>2759.75</v>
      </c>
      <c r="S40" s="221">
        <f>#N/A</f>
        <v>-899.02</v>
      </c>
      <c r="T40" s="222">
        <f>#N/A</f>
        <v>0.6742386085696168</v>
      </c>
      <c r="U40" s="206">
        <f>F40-липень!F40</f>
        <v>550.1700000000001</v>
      </c>
      <c r="V40" s="206">
        <f>G40-липень!G40</f>
        <v>0</v>
      </c>
      <c r="W40" s="221">
        <f>#N/A</f>
        <v>-550.1700000000001</v>
      </c>
      <c r="X40" s="222">
        <f>#N/A</f>
        <v>0</v>
      </c>
      <c r="Y40" s="465">
        <f>#N/A</f>
        <v>-0.3369318509776167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14702.8</v>
      </c>
      <c r="G41" s="206">
        <v>11746.23</v>
      </c>
      <c r="H41" s="218">
        <f>#N/A</f>
        <v>-2956.5699999999997</v>
      </c>
      <c r="I41" s="220">
        <f>#N/A</f>
        <v>0.7989110917648339</v>
      </c>
      <c r="J41" s="221">
        <f>#N/A</f>
        <v>-9353.77</v>
      </c>
      <c r="K41" s="222">
        <f>#N/A</f>
        <v>0.55669336492891</v>
      </c>
      <c r="L41" s="176"/>
      <c r="M41" s="176"/>
      <c r="N41" s="176"/>
      <c r="O41" s="221">
        <v>20366.58</v>
      </c>
      <c r="P41" s="221">
        <f>#N/A</f>
        <v>733.4199999999983</v>
      </c>
      <c r="Q41" s="222">
        <f>#N/A</f>
        <v>1.0360109552021006</v>
      </c>
      <c r="R41" s="221">
        <v>13784.46</v>
      </c>
      <c r="S41" s="221">
        <f>#N/A</f>
        <v>-2038.2299999999996</v>
      </c>
      <c r="T41" s="222">
        <f>#N/A</f>
        <v>0.852135665814983</v>
      </c>
      <c r="U41" s="206">
        <f>F41-липень!F41</f>
        <v>2400</v>
      </c>
      <c r="V41" s="206">
        <f>G41-липень!G41</f>
        <v>0</v>
      </c>
      <c r="W41" s="221">
        <f>#N/A</f>
        <v>-2400</v>
      </c>
      <c r="X41" s="222">
        <f>#N/A</f>
        <v>0</v>
      </c>
      <c r="Y41" s="465">
        <f>#N/A</f>
        <v>-0.1838752893871176</v>
      </c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v>0</v>
      </c>
      <c r="G42" s="139">
        <v>0</v>
      </c>
      <c r="H42" s="102">
        <f>#N/A</f>
        <v>0</v>
      </c>
      <c r="I42" s="208"/>
      <c r="J42" s="108">
        <f>#N/A</f>
        <v>0</v>
      </c>
      <c r="K42" s="108"/>
      <c r="L42" s="108"/>
      <c r="M42" s="108"/>
      <c r="N42" s="108"/>
      <c r="O42" s="108">
        <v>0.2</v>
      </c>
      <c r="P42" s="108">
        <f>#N/A</f>
        <v>-0.2</v>
      </c>
      <c r="Q42" s="148">
        <f>#N/A</f>
        <v>0</v>
      </c>
      <c r="R42" s="117">
        <v>0.2</v>
      </c>
      <c r="S42" s="108">
        <f>#N/A</f>
        <v>-0.2</v>
      </c>
      <c r="T42" s="148"/>
      <c r="U42" s="107">
        <f>F42-липень!F42</f>
        <v>0</v>
      </c>
      <c r="V42" s="110">
        <f>G42-липень!G42</f>
        <v>0</v>
      </c>
      <c r="W42" s="111">
        <f>#N/A</f>
        <v>0</v>
      </c>
      <c r="X42" s="148"/>
      <c r="Y42" s="197">
        <f>#N/A</f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119.43</v>
      </c>
      <c r="G43" s="106">
        <v>125.5</v>
      </c>
      <c r="H43" s="102">
        <f>#N/A</f>
        <v>0.19999999999998863</v>
      </c>
      <c r="I43" s="208">
        <f>G43/F43</f>
        <v>1.0508247509001087</v>
      </c>
      <c r="J43" s="108">
        <f>#N/A</f>
        <v>-54.77000000000001</v>
      </c>
      <c r="K43" s="148">
        <f>G43/E43</f>
        <v>0.7196100917431193</v>
      </c>
      <c r="L43" s="108"/>
      <c r="M43" s="108"/>
      <c r="N43" s="108"/>
      <c r="O43" s="108">
        <v>156.82</v>
      </c>
      <c r="P43" s="108">
        <f>#N/A</f>
        <v>17.580000000000013</v>
      </c>
      <c r="Q43" s="148">
        <f>#N/A</f>
        <v>1.112103048080602</v>
      </c>
      <c r="R43" s="117">
        <v>114.06</v>
      </c>
      <c r="S43" s="108">
        <f>#N/A</f>
        <v>5.569999999999993</v>
      </c>
      <c r="T43" s="148">
        <f>#N/A</f>
        <v>1.0488339470454147</v>
      </c>
      <c r="U43" s="107">
        <f>F43-липень!F43</f>
        <v>31</v>
      </c>
      <c r="V43" s="110">
        <f>G43-липень!G43</f>
        <v>5.8700000000000045</v>
      </c>
      <c r="W43" s="111">
        <f>#N/A</f>
        <v>-31</v>
      </c>
      <c r="X43" s="148">
        <f>V43/U43</f>
        <v>0.18935483870967756</v>
      </c>
      <c r="Y43" s="466">
        <f>#N/A</f>
        <v>-0.06326910103518735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67.9</v>
      </c>
      <c r="G44" s="94">
        <v>95.19</v>
      </c>
      <c r="H44" s="71">
        <f>#N/A</f>
        <v>27.289999999999992</v>
      </c>
      <c r="I44" s="209">
        <f>G44/F44</f>
        <v>1.4019145802650956</v>
      </c>
      <c r="J44" s="72">
        <f>#N/A</f>
        <v>-5.710000000000008</v>
      </c>
      <c r="K44" s="75">
        <f>G44/E44</f>
        <v>0.9434093161546084</v>
      </c>
      <c r="L44" s="72"/>
      <c r="M44" s="72"/>
      <c r="N44" s="72"/>
      <c r="O44" s="72">
        <v>95.14</v>
      </c>
      <c r="P44" s="72">
        <f>#N/A</f>
        <v>5.760000000000005</v>
      </c>
      <c r="Q44" s="75">
        <f>#N/A</f>
        <v>1.0605423586293883</v>
      </c>
      <c r="R44" s="72">
        <v>67.32</v>
      </c>
      <c r="S44" s="72">
        <f>#N/A</f>
        <v>27.870000000000005</v>
      </c>
      <c r="T44" s="75">
        <f>#N/A</f>
        <v>1.4139928698752229</v>
      </c>
      <c r="U44" s="73">
        <f>F44-липень!F44</f>
        <v>17.000000000000007</v>
      </c>
      <c r="V44" s="98">
        <f>G44-липень!G44</f>
        <v>0</v>
      </c>
      <c r="W44" s="74">
        <f>#N/A</f>
        <v>-17.000000000000007</v>
      </c>
      <c r="X44" s="75">
        <f>V44/U44</f>
        <v>0</v>
      </c>
      <c r="Y44" s="465">
        <f>#N/A</f>
        <v>0.3534505112458346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51.53</v>
      </c>
      <c r="G45" s="94">
        <v>24.44</v>
      </c>
      <c r="H45" s="71">
        <f>#N/A</f>
        <v>-27.09</v>
      </c>
      <c r="I45" s="209">
        <f>G45/F45</f>
        <v>0.4742868232097807</v>
      </c>
      <c r="J45" s="72">
        <f>#N/A</f>
        <v>-49.06</v>
      </c>
      <c r="K45" s="75">
        <f>G45/E45</f>
        <v>0.3325170068027211</v>
      </c>
      <c r="L45" s="72"/>
      <c r="M45" s="72"/>
      <c r="N45" s="72"/>
      <c r="O45" s="72">
        <v>61.68</v>
      </c>
      <c r="P45" s="72">
        <f>#N/A</f>
        <v>11.82</v>
      </c>
      <c r="Q45" s="75">
        <f>#N/A</f>
        <v>1.1916342412451362</v>
      </c>
      <c r="R45" s="72">
        <v>46.73</v>
      </c>
      <c r="S45" s="72">
        <f>#N/A</f>
        <v>-22.289999999999996</v>
      </c>
      <c r="T45" s="75">
        <f>#N/A</f>
        <v>0.5230044939011342</v>
      </c>
      <c r="U45" s="73">
        <f>F45-липень!F45</f>
        <v>14</v>
      </c>
      <c r="V45" s="98">
        <f>G45-липень!G45</f>
        <v>0</v>
      </c>
      <c r="W45" s="74">
        <f>#N/A</f>
        <v>-14</v>
      </c>
      <c r="X45" s="75">
        <f>V45/U45</f>
        <v>0</v>
      </c>
      <c r="Y45" s="465">
        <f>#N/A</f>
        <v>-0.6686297473440019</v>
      </c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-21</v>
      </c>
      <c r="H46" s="102">
        <f>#N/A</f>
        <v>-14.76</v>
      </c>
      <c r="I46" s="208"/>
      <c r="J46" s="108">
        <f>#N/A</f>
        <v>-14.76</v>
      </c>
      <c r="K46" s="148"/>
      <c r="L46" s="108"/>
      <c r="M46" s="108"/>
      <c r="N46" s="108"/>
      <c r="O46" s="108">
        <v>-50.78</v>
      </c>
      <c r="P46" s="108">
        <f>#N/A</f>
        <v>50.78</v>
      </c>
      <c r="Q46" s="148">
        <f>#N/A</f>
        <v>0</v>
      </c>
      <c r="R46" s="108">
        <v>-38.21</v>
      </c>
      <c r="S46" s="108">
        <f>#N/A</f>
        <v>23.450000000000003</v>
      </c>
      <c r="T46" s="148">
        <f>#N/A</f>
        <v>0.38628631248364304</v>
      </c>
      <c r="U46" s="107">
        <f>F46-липень!F46</f>
        <v>0</v>
      </c>
      <c r="V46" s="110">
        <f>G46-липень!G46</f>
        <v>-6.24</v>
      </c>
      <c r="W46" s="111">
        <f>#N/A</f>
        <v>0</v>
      </c>
      <c r="X46" s="148"/>
      <c r="Y46" s="197">
        <f>#N/A</f>
        <v>0.38628631248364304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256650.8</v>
      </c>
      <c r="F47" s="112">
        <f>F48+F49+F50+F51</f>
        <v>178964.36</v>
      </c>
      <c r="G47" s="113">
        <v>186225.9</v>
      </c>
      <c r="H47" s="102">
        <f>#N/A</f>
        <v>-25086.059999999998</v>
      </c>
      <c r="I47" s="208">
        <f>G47/F47</f>
        <v>1.0405753413696448</v>
      </c>
      <c r="J47" s="108">
        <f>#N/A</f>
        <v>-102772.5</v>
      </c>
      <c r="K47" s="148">
        <f>G47/E47</f>
        <v>0.7256003098373354</v>
      </c>
      <c r="L47" s="108"/>
      <c r="M47" s="108"/>
      <c r="N47" s="108"/>
      <c r="O47" s="108">
        <v>223368.23</v>
      </c>
      <c r="P47" s="108">
        <f>#N/A</f>
        <v>33282.56999999998</v>
      </c>
      <c r="Q47" s="148">
        <f>#N/A</f>
        <v>1.1490031505375673</v>
      </c>
      <c r="R47" s="123">
        <v>150869.2</v>
      </c>
      <c r="S47" s="123">
        <f>#N/A</f>
        <v>3009.0999999999767</v>
      </c>
      <c r="T47" s="160">
        <f>#N/A</f>
        <v>1.0199450915097314</v>
      </c>
      <c r="U47" s="107">
        <f>F47-липень!F47</f>
        <v>28999.99999999997</v>
      </c>
      <c r="V47" s="110">
        <f>G47-липень!G47</f>
        <v>33532.78</v>
      </c>
      <c r="W47" s="111">
        <f>#N/A</f>
        <v>-27814.819999999978</v>
      </c>
      <c r="X47" s="148">
        <f>V47/U47</f>
        <v>1.1563027586206909</v>
      </c>
      <c r="Y47" s="197">
        <f>#N/A</f>
        <v>-0.12905805902783585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</v>
      </c>
      <c r="H48" s="71">
        <f>G48-F48</f>
        <v>0</v>
      </c>
      <c r="I48" s="209"/>
      <c r="J48" s="72">
        <f>#N/A</f>
        <v>0</v>
      </c>
      <c r="K48" s="75"/>
      <c r="L48" s="72"/>
      <c r="M48" s="72"/>
      <c r="N48" s="72"/>
      <c r="O48" s="72">
        <v>0.01</v>
      </c>
      <c r="P48" s="72">
        <f>#N/A</f>
        <v>-0.01</v>
      </c>
      <c r="Q48" s="75">
        <f>#N/A</f>
        <v>0</v>
      </c>
      <c r="R48" s="85">
        <v>0.01</v>
      </c>
      <c r="S48" s="85">
        <f>#N/A</f>
        <v>-0.01</v>
      </c>
      <c r="T48" s="153">
        <f>#N/A</f>
        <v>0</v>
      </c>
      <c r="U48" s="73">
        <f>F48-липень!F48</f>
        <v>0</v>
      </c>
      <c r="V48" s="98">
        <f>G48-липень!G48</f>
        <v>0</v>
      </c>
      <c r="W48" s="74">
        <f>#N/A</f>
        <v>0</v>
      </c>
      <c r="X48" s="75"/>
      <c r="Y48" s="198">
        <f>#N/A</f>
        <v>0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39083.87</v>
      </c>
      <c r="G49" s="94">
        <v>27957.96</v>
      </c>
      <c r="H49" s="71">
        <f>G49-F49</f>
        <v>-11125.910000000003</v>
      </c>
      <c r="I49" s="209">
        <f>G49/F49</f>
        <v>0.7153324376526684</v>
      </c>
      <c r="J49" s="72">
        <f>#N/A</f>
        <v>-27757.04</v>
      </c>
      <c r="K49" s="75">
        <f>G49/E49</f>
        <v>0.5018031050883963</v>
      </c>
      <c r="L49" s="72"/>
      <c r="M49" s="72"/>
      <c r="N49" s="72"/>
      <c r="O49" s="72">
        <v>45030.34</v>
      </c>
      <c r="P49" s="72">
        <f>#N/A</f>
        <v>10684.660000000003</v>
      </c>
      <c r="Q49" s="75">
        <f>#N/A</f>
        <v>1.2372769115223203</v>
      </c>
      <c r="R49" s="85">
        <v>30163.42</v>
      </c>
      <c r="S49" s="85">
        <f>#N/A</f>
        <v>-2205.459999999999</v>
      </c>
      <c r="T49" s="153">
        <f>#N/A</f>
        <v>0.9268829595582995</v>
      </c>
      <c r="U49" s="73">
        <f>F49-липень!F49</f>
        <v>7500.000000000004</v>
      </c>
      <c r="V49" s="98">
        <f>G49-липень!G49</f>
        <v>0</v>
      </c>
      <c r="W49" s="74">
        <f>#N/A</f>
        <v>-7500.000000000004</v>
      </c>
      <c r="X49" s="75">
        <f>V49/U49</f>
        <v>0</v>
      </c>
      <c r="Y49" s="198">
        <f>#N/A</f>
        <v>-0.31039395196402086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30">
        <v>198755</v>
      </c>
      <c r="E50" s="71">
        <f>198755+2100</f>
        <v>200855</v>
      </c>
      <c r="F50" s="71">
        <v>139840.49</v>
      </c>
      <c r="G50" s="94">
        <v>124693.82</v>
      </c>
      <c r="H50" s="71">
        <f>G50-F50</f>
        <v>-15146.669999999984</v>
      </c>
      <c r="I50" s="209">
        <f>G50/F50</f>
        <v>0.8916860917749931</v>
      </c>
      <c r="J50" s="72">
        <f>#N/A</f>
        <v>-76161.18</v>
      </c>
      <c r="K50" s="75">
        <f>G50/E50</f>
        <v>0.620815115381743</v>
      </c>
      <c r="L50" s="72"/>
      <c r="M50" s="72"/>
      <c r="N50" s="72"/>
      <c r="O50" s="72">
        <v>178270.24</v>
      </c>
      <c r="P50" s="72">
        <f>#N/A</f>
        <v>22584.76000000001</v>
      </c>
      <c r="Q50" s="75">
        <f>#N/A</f>
        <v>1.1266883356414397</v>
      </c>
      <c r="R50" s="85">
        <v>120675.69</v>
      </c>
      <c r="S50" s="85">
        <f>#N/A</f>
        <v>4018.1300000000047</v>
      </c>
      <c r="T50" s="153">
        <f>#N/A</f>
        <v>1.033296929978192</v>
      </c>
      <c r="U50" s="73">
        <f>F50-липень!F50</f>
        <v>21499.999999999985</v>
      </c>
      <c r="V50" s="98">
        <f>G50-липень!G50</f>
        <v>0</v>
      </c>
      <c r="W50" s="74">
        <f>#N/A</f>
        <v>-21499.999999999985</v>
      </c>
      <c r="X50" s="75">
        <f>V50/U50</f>
        <v>0</v>
      </c>
      <c r="Y50" s="198">
        <f>#N/A</f>
        <v>-0.09339140566324766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40</v>
      </c>
      <c r="G51" s="94">
        <v>41.33</v>
      </c>
      <c r="H51" s="71">
        <f>G51-F51</f>
        <v>1.3299999999999983</v>
      </c>
      <c r="I51" s="209">
        <f>G51/F51</f>
        <v>1.03325</v>
      </c>
      <c r="J51" s="72">
        <f>#N/A</f>
        <v>-39.47</v>
      </c>
      <c r="K51" s="75">
        <f>G51/E51</f>
        <v>0.511509900990099</v>
      </c>
      <c r="L51" s="72"/>
      <c r="M51" s="72"/>
      <c r="N51" s="72"/>
      <c r="O51" s="72">
        <v>67.63</v>
      </c>
      <c r="P51" s="72">
        <f>#N/A</f>
        <v>13.170000000000002</v>
      </c>
      <c r="Q51" s="75">
        <f>#N/A</f>
        <v>1.1947360638769777</v>
      </c>
      <c r="R51" s="85">
        <v>30.07</v>
      </c>
      <c r="S51" s="85">
        <f>#N/A</f>
        <v>11.259999999999998</v>
      </c>
      <c r="T51" s="153">
        <f>#N/A</f>
        <v>1.3744595942800133</v>
      </c>
      <c r="U51" s="73">
        <f>F51-липень!F51</f>
        <v>0</v>
      </c>
      <c r="V51" s="98">
        <f>G51-липень!G51</f>
        <v>0</v>
      </c>
      <c r="W51" s="74">
        <f>#N/A</f>
        <v>0</v>
      </c>
      <c r="X51" s="75"/>
      <c r="Y51" s="198">
        <f>#N/A</f>
        <v>0.17972353040303557</v>
      </c>
    </row>
    <row r="52" spans="1:25" s="6" customFormat="1" ht="15" customHeight="1" hidden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>#N/A</f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>#N/A</f>
        <v>0</v>
      </c>
      <c r="T52" s="154"/>
      <c r="U52" s="91">
        <f>F52-липень!F52</f>
        <v>0</v>
      </c>
      <c r="V52" s="99">
        <f>G52-липень!G52</f>
        <v>0</v>
      </c>
      <c r="W52" s="117">
        <f>#N/A</f>
        <v>0</v>
      </c>
      <c r="X52" s="67"/>
      <c r="Y52" s="197">
        <f>#N/A</f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E54+E55+E56+E57+E58+E60+E62+E63+E64+E65+E66+E71+E72+E76+E59+E61+E77</f>
        <v>50248.9</v>
      </c>
      <c r="F53" s="103">
        <f>F54+F55+F56+F57+F58+F60+F62+F63+F64+F65+F66+F71+F72+F76+F59+F61+F77</f>
        <v>35284.17</v>
      </c>
      <c r="G53" s="103">
        <f>G54+G55+G56+G57+G58+G60+G62+G63+G64+G65+G66+G71+G72+G76+G59+G61+G77</f>
        <v>39303.77</v>
      </c>
      <c r="H53" s="315">
        <f>#N/A</f>
        <v>-1281.1100000000006</v>
      </c>
      <c r="I53" s="143">
        <f>#N/A</f>
        <v>0.9636916498248365</v>
      </c>
      <c r="J53" s="104">
        <f>G53-E53</f>
        <v>-10945.130000000005</v>
      </c>
      <c r="K53" s="156">
        <f>#N/A</f>
        <v>0.6766926241171448</v>
      </c>
      <c r="L53" s="104"/>
      <c r="M53" s="104"/>
      <c r="N53" s="104"/>
      <c r="O53" s="104">
        <v>69380.98</v>
      </c>
      <c r="P53" s="104">
        <f>E53-O53</f>
        <v>-19132.079999999994</v>
      </c>
      <c r="Q53" s="156">
        <f>E53/O53</f>
        <v>0.7242460397647886</v>
      </c>
      <c r="R53" s="173">
        <v>47414.9</v>
      </c>
      <c r="S53" s="103">
        <f>#N/A</f>
        <v>-13411.840000000004</v>
      </c>
      <c r="T53" s="143">
        <f>G53/R53</f>
        <v>0.8289328881849376</v>
      </c>
      <c r="U53" s="103">
        <f>U54+U55+U56+U57+U58+U60+U62+U63+U64+U65+U66+U71+U72+U76+U59+U61+U77</f>
        <v>3828.5</v>
      </c>
      <c r="V53" s="103">
        <f>V54+V55+V56+V57+V58+V60+V62+V63+V64+V65+V66+V71+V72+V76+V59+V61+V77</f>
        <v>6444.130000000001</v>
      </c>
      <c r="W53" s="467">
        <f>#N/A</f>
        <v>-2685.08</v>
      </c>
      <c r="X53" s="143">
        <f>V53/U53</f>
        <v>1.6831996865613168</v>
      </c>
      <c r="Y53" s="197">
        <f>#N/A</f>
        <v>-0.007107334421109779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f>1106.11+1543.89</f>
        <v>2650</v>
      </c>
      <c r="G54" s="106">
        <v>3229.5</v>
      </c>
      <c r="H54" s="102">
        <f>#N/A</f>
        <v>79</v>
      </c>
      <c r="I54" s="213">
        <f>#N/A</f>
        <v>1.029811320754717</v>
      </c>
      <c r="J54" s="115">
        <f>G54-E54</f>
        <v>579.5</v>
      </c>
      <c r="K54" s="155">
        <f>#N/A</f>
        <v>1.029811320754717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3557.9</v>
      </c>
      <c r="S54" s="115">
        <f>#N/A</f>
        <v>-828.9000000000001</v>
      </c>
      <c r="T54" s="155">
        <f>G54/R54</f>
        <v>0.9076983613929565</v>
      </c>
      <c r="U54" s="107">
        <f>F54-липень!F54</f>
        <v>0</v>
      </c>
      <c r="V54" s="110">
        <f>G54-липень!G54</f>
        <v>500.5</v>
      </c>
      <c r="W54" s="111">
        <f>#N/A</f>
        <v>0</v>
      </c>
      <c r="X54" s="155" t="e">
        <f>V54/U54</f>
        <v>#DIV/0!</v>
      </c>
      <c r="Y54" s="197">
        <f>#N/A</f>
        <v>-0.23906419748260477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f>5000+2000</f>
        <v>7000</v>
      </c>
      <c r="F55" s="102">
        <v>5000.08</v>
      </c>
      <c r="G55" s="106">
        <v>8139.5</v>
      </c>
      <c r="H55" s="102">
        <f>#N/A</f>
        <v>1989.42</v>
      </c>
      <c r="I55" s="213">
        <f>#N/A</f>
        <v>1.3978776339578567</v>
      </c>
      <c r="J55" s="115">
        <f>#N/A</f>
        <v>-10.5</v>
      </c>
      <c r="K55" s="155">
        <f>#N/A</f>
        <v>0.9985</v>
      </c>
      <c r="L55" s="115"/>
      <c r="M55" s="115"/>
      <c r="N55" s="115"/>
      <c r="O55" s="115">
        <v>27997.6</v>
      </c>
      <c r="P55" s="115">
        <f>#N/A</f>
        <v>-20997.6</v>
      </c>
      <c r="Q55" s="155">
        <f>#N/A</f>
        <v>0.2500214304083207</v>
      </c>
      <c r="R55" s="115">
        <v>18068.14</v>
      </c>
      <c r="S55" s="115">
        <f>#N/A</f>
        <v>-11078.64</v>
      </c>
      <c r="T55" s="155">
        <f>#N/A</f>
        <v>0.38684114690278026</v>
      </c>
      <c r="U55" s="107">
        <f>F55-липень!F55</f>
        <v>500</v>
      </c>
      <c r="V55" s="110">
        <f>G55-липень!G55</f>
        <v>2148.38</v>
      </c>
      <c r="W55" s="111">
        <f>#N/A</f>
        <v>498.3800000000001</v>
      </c>
      <c r="X55" s="155">
        <f>#N/A</f>
        <v>1.9967600000000003</v>
      </c>
      <c r="Y55" s="197">
        <f>#N/A</f>
        <v>0.13681971649445956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98</v>
      </c>
      <c r="G56" s="106">
        <v>51.82</v>
      </c>
      <c r="H56" s="102">
        <f>#N/A</f>
        <v>-46.18</v>
      </c>
      <c r="I56" s="213">
        <f>#N/A</f>
        <v>0.5287755102040816</v>
      </c>
      <c r="J56" s="115">
        <f>#N/A</f>
        <v>-106.18</v>
      </c>
      <c r="K56" s="155">
        <f>#N/A</f>
        <v>0.3279746835443038</v>
      </c>
      <c r="L56" s="115"/>
      <c r="M56" s="115"/>
      <c r="N56" s="115"/>
      <c r="O56" s="115">
        <v>153.3</v>
      </c>
      <c r="P56" s="115">
        <f>#N/A</f>
        <v>4.699999999999989</v>
      </c>
      <c r="Q56" s="155">
        <f>#N/A</f>
        <v>1.030658838878017</v>
      </c>
      <c r="R56" s="117">
        <v>123.3</v>
      </c>
      <c r="S56" s="115">
        <f>#N/A</f>
        <v>-71.47999999999999</v>
      </c>
      <c r="T56" s="155">
        <f>#N/A</f>
        <v>0.42027575020275754</v>
      </c>
      <c r="U56" s="107">
        <f>F56-липень!F56</f>
        <v>14</v>
      </c>
      <c r="V56" s="110">
        <f>G56-липень!G56</f>
        <v>0</v>
      </c>
      <c r="W56" s="111">
        <f>#N/A</f>
        <v>-14</v>
      </c>
      <c r="X56" s="155">
        <f>#N/A</f>
        <v>0</v>
      </c>
      <c r="Y56" s="197">
        <f>#N/A</f>
        <v>-0.6103830886752594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9</v>
      </c>
      <c r="G57" s="106">
        <v>2.1</v>
      </c>
      <c r="H57" s="102">
        <f>#N/A</f>
        <v>-3.96</v>
      </c>
      <c r="I57" s="213">
        <f>#N/A</f>
        <v>0.56</v>
      </c>
      <c r="J57" s="115">
        <f>#N/A</f>
        <v>-7.96</v>
      </c>
      <c r="K57" s="155">
        <f>#N/A</f>
        <v>0.38769230769230767</v>
      </c>
      <c r="L57" s="115"/>
      <c r="M57" s="115"/>
      <c r="N57" s="115"/>
      <c r="O57" s="115">
        <v>12.95</v>
      </c>
      <c r="P57" s="115">
        <f>#N/A</f>
        <v>0.05000000000000071</v>
      </c>
      <c r="Q57" s="225">
        <f>#N/A</f>
        <v>1.0038610038610039</v>
      </c>
      <c r="R57" s="115">
        <v>12.95</v>
      </c>
      <c r="S57" s="115">
        <f>#N/A</f>
        <v>-7.909999999999999</v>
      </c>
      <c r="T57" s="155"/>
      <c r="U57" s="107">
        <f>F57-липень!F57</f>
        <v>1</v>
      </c>
      <c r="V57" s="110">
        <f>G57-липень!G57</f>
        <v>-2.94</v>
      </c>
      <c r="W57" s="111">
        <f>#N/A</f>
        <v>-1</v>
      </c>
      <c r="X57" s="155">
        <f>#N/A</f>
        <v>0</v>
      </c>
      <c r="Y57" s="197">
        <f>#N/A</f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460</v>
      </c>
      <c r="G58" s="106">
        <v>721.3</v>
      </c>
      <c r="H58" s="102">
        <f>#N/A</f>
        <v>242.59000000000003</v>
      </c>
      <c r="I58" s="213">
        <f>#N/A</f>
        <v>1.5273695652173913</v>
      </c>
      <c r="J58" s="115">
        <f>#N/A</f>
        <v>-41.40999999999997</v>
      </c>
      <c r="K58" s="155">
        <f>#N/A</f>
        <v>0.9443413978494624</v>
      </c>
      <c r="L58" s="115"/>
      <c r="M58" s="115"/>
      <c r="N58" s="115"/>
      <c r="O58" s="115">
        <v>705.31</v>
      </c>
      <c r="P58" s="115">
        <f>#N/A</f>
        <v>38.690000000000055</v>
      </c>
      <c r="Q58" s="155">
        <f>#N/A</f>
        <v>1.0548553118486907</v>
      </c>
      <c r="R58" s="115">
        <v>599.15</v>
      </c>
      <c r="S58" s="115">
        <f>#N/A</f>
        <v>103.44000000000005</v>
      </c>
      <c r="T58" s="155">
        <f>#N/A</f>
        <v>1.1726445798214138</v>
      </c>
      <c r="U58" s="107">
        <f>F58-липень!F58</f>
        <v>70</v>
      </c>
      <c r="V58" s="110">
        <f>G58-липень!G58</f>
        <v>18.709999999999923</v>
      </c>
      <c r="W58" s="111">
        <f>#N/A</f>
        <v>-70</v>
      </c>
      <c r="X58" s="155">
        <f>#N/A</f>
        <v>0</v>
      </c>
      <c r="Y58" s="197">
        <f>#N/A</f>
        <v>0.11778926797272304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70</v>
      </c>
      <c r="G59" s="106">
        <v>144.2</v>
      </c>
      <c r="H59" s="102">
        <f>#N/A</f>
        <v>47.040000000000006</v>
      </c>
      <c r="I59" s="213">
        <f>#N/A</f>
        <v>1.6720000000000002</v>
      </c>
      <c r="J59" s="115">
        <f>#N/A</f>
        <v>1.5400000000000063</v>
      </c>
      <c r="K59" s="155">
        <f>#N/A</f>
        <v>1.0133333333333334</v>
      </c>
      <c r="L59" s="115"/>
      <c r="M59" s="115"/>
      <c r="N59" s="115"/>
      <c r="O59" s="115">
        <v>114.3</v>
      </c>
      <c r="P59" s="115">
        <f>#N/A</f>
        <v>1.2000000000000028</v>
      </c>
      <c r="Q59" s="155">
        <f>#N/A</f>
        <v>1.010498687664042</v>
      </c>
      <c r="R59" s="115">
        <v>71.63</v>
      </c>
      <c r="S59" s="115">
        <f>#N/A</f>
        <v>45.41000000000001</v>
      </c>
      <c r="T59" s="155">
        <f>#N/A</f>
        <v>1.63395225464191</v>
      </c>
      <c r="U59" s="107">
        <f>F59-липень!F59</f>
        <v>10</v>
      </c>
      <c r="V59" s="110">
        <f>G59-липень!G59</f>
        <v>27.159999999999982</v>
      </c>
      <c r="W59" s="111">
        <f>#N/A</f>
        <v>-10</v>
      </c>
      <c r="X59" s="155">
        <f>#N/A</f>
        <v>0</v>
      </c>
      <c r="Y59" s="197">
        <f>#N/A</f>
        <v>0.623453566977868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844</v>
      </c>
      <c r="G60" s="106">
        <v>783.7</v>
      </c>
      <c r="H60" s="102">
        <f>#N/A</f>
        <v>-150.60000000000002</v>
      </c>
      <c r="I60" s="213">
        <f>#N/A</f>
        <v>0.821563981042654</v>
      </c>
      <c r="J60" s="115">
        <f>#N/A</f>
        <v>-590.6</v>
      </c>
      <c r="K60" s="155">
        <f>#N/A</f>
        <v>0.5400311526479751</v>
      </c>
      <c r="L60" s="115"/>
      <c r="M60" s="115"/>
      <c r="N60" s="115"/>
      <c r="O60" s="115">
        <v>1205.14</v>
      </c>
      <c r="P60" s="115">
        <f>#N/A</f>
        <v>78.8599999999999</v>
      </c>
      <c r="Q60" s="155">
        <f>#N/A</f>
        <v>1.0654363808354215</v>
      </c>
      <c r="R60" s="115">
        <v>812.87</v>
      </c>
      <c r="S60" s="115">
        <f>#N/A</f>
        <v>-119.47000000000003</v>
      </c>
      <c r="T60" s="155">
        <f>#N/A</f>
        <v>0.8530269292752838</v>
      </c>
      <c r="U60" s="107">
        <f>F60-липень!F60</f>
        <v>110</v>
      </c>
      <c r="V60" s="110">
        <f>G60-липень!G60</f>
        <v>93.35000000000002</v>
      </c>
      <c r="W60" s="111">
        <f>#N/A</f>
        <v>-106.95000000000005</v>
      </c>
      <c r="X60" s="155">
        <f>#N/A</f>
        <v>0.027727272727272313</v>
      </c>
      <c r="Y60" s="197">
        <f>#N/A</f>
        <v>-0.21240945156013769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>#N/A</f>
        <v>0</v>
      </c>
      <c r="I61" s="213" t="e">
        <f>#N/A</f>
        <v>#DIV/0!</v>
      </c>
      <c r="J61" s="115">
        <f>#N/A</f>
        <v>0</v>
      </c>
      <c r="K61" s="155" t="e">
        <f>#N/A</f>
        <v>#DIV/0!</v>
      </c>
      <c r="L61" s="115"/>
      <c r="M61" s="115"/>
      <c r="N61" s="115"/>
      <c r="O61" s="115">
        <v>23.38</v>
      </c>
      <c r="P61" s="115">
        <f>#N/A</f>
        <v>-23.38</v>
      </c>
      <c r="Q61" s="155">
        <f>#N/A</f>
        <v>0</v>
      </c>
      <c r="R61" s="115">
        <v>23.38</v>
      </c>
      <c r="S61" s="115">
        <f>#N/A</f>
        <v>-23.38</v>
      </c>
      <c r="T61" s="155"/>
      <c r="U61" s="107">
        <f>F61-липень!F61</f>
        <v>0</v>
      </c>
      <c r="V61" s="110">
        <f>G61-липень!G61</f>
        <v>0</v>
      </c>
      <c r="W61" s="111">
        <f>#N/A</f>
        <v>0</v>
      </c>
      <c r="X61" s="155" t="e">
        <f>#N/A</f>
        <v>#DIV/0!</v>
      </c>
      <c r="Y61" s="197">
        <f>#N/A</f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f>21260+1000</f>
        <v>22260</v>
      </c>
      <c r="F62" s="102">
        <v>15690</v>
      </c>
      <c r="G62" s="106">
        <v>16255.4</v>
      </c>
      <c r="H62" s="102">
        <f>#N/A</f>
        <v>-1847.7000000000007</v>
      </c>
      <c r="I62" s="213">
        <f>#N/A</f>
        <v>0.8822370936902485</v>
      </c>
      <c r="J62" s="115">
        <f>#N/A</f>
        <v>-8417.7</v>
      </c>
      <c r="K62" s="155">
        <f>#N/A</f>
        <v>0.6218463611859838</v>
      </c>
      <c r="L62" s="115"/>
      <c r="M62" s="115"/>
      <c r="N62" s="115"/>
      <c r="O62" s="115">
        <v>20110.14</v>
      </c>
      <c r="P62" s="115">
        <f>#N/A</f>
        <v>2149.8600000000006</v>
      </c>
      <c r="Q62" s="155">
        <f>#N/A</f>
        <v>1.1069042781402816</v>
      </c>
      <c r="R62" s="115">
        <v>12913.87</v>
      </c>
      <c r="S62" s="115">
        <f>#N/A</f>
        <v>928.4299999999985</v>
      </c>
      <c r="T62" s="155">
        <f>#N/A</f>
        <v>1.0718940178273437</v>
      </c>
      <c r="U62" s="107">
        <f>F62-липень!F62</f>
        <v>1800</v>
      </c>
      <c r="V62" s="110">
        <f>G62-липень!G62</f>
        <v>2542.4400000000005</v>
      </c>
      <c r="W62" s="111">
        <f>#N/A</f>
        <v>-1670.6599999999999</v>
      </c>
      <c r="X62" s="155">
        <f>#N/A</f>
        <v>0.07185555555555563</v>
      </c>
      <c r="Y62" s="197">
        <f>#N/A</f>
        <v>-0.03501026031293786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507.3</v>
      </c>
      <c r="G63" s="106">
        <v>578.1</v>
      </c>
      <c r="H63" s="102">
        <f>#N/A</f>
        <v>2.6999999999999886</v>
      </c>
      <c r="I63" s="213">
        <f>#N/A</f>
        <v>1.0053222945002958</v>
      </c>
      <c r="J63" s="115">
        <f>#N/A</f>
        <v>-257</v>
      </c>
      <c r="K63" s="155">
        <f>#N/A</f>
        <v>0.6649282920469362</v>
      </c>
      <c r="L63" s="115"/>
      <c r="M63" s="115"/>
      <c r="N63" s="115"/>
      <c r="O63" s="115">
        <v>710.04</v>
      </c>
      <c r="P63" s="115">
        <f>#N/A</f>
        <v>56.960000000000036</v>
      </c>
      <c r="Q63" s="155">
        <f>#N/A</f>
        <v>1.0802208326291478</v>
      </c>
      <c r="R63" s="115">
        <v>376.24</v>
      </c>
      <c r="S63" s="115">
        <f>#N/A</f>
        <v>133.76</v>
      </c>
      <c r="T63" s="155">
        <f>#N/A</f>
        <v>1.3555177546247077</v>
      </c>
      <c r="U63" s="107">
        <f>F63-липень!F63</f>
        <v>65</v>
      </c>
      <c r="V63" s="110">
        <f>G63-липень!G63</f>
        <v>73.59000000000003</v>
      </c>
      <c r="W63" s="111">
        <f>#N/A</f>
        <v>-59.50999999999999</v>
      </c>
      <c r="X63" s="155">
        <f>#N/A</f>
        <v>0.0844615384615386</v>
      </c>
      <c r="Y63" s="197">
        <f>#N/A</f>
        <v>0.2752969219955599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28</v>
      </c>
      <c r="G64" s="106">
        <v>15.9</v>
      </c>
      <c r="H64" s="102">
        <f>#N/A</f>
        <v>-14.77</v>
      </c>
      <c r="I64" s="213">
        <f>#N/A</f>
        <v>0.47250000000000003</v>
      </c>
      <c r="J64" s="115">
        <f>#N/A</f>
        <v>-30.77</v>
      </c>
      <c r="K64" s="155">
        <f>#N/A</f>
        <v>0.3006818181818182</v>
      </c>
      <c r="L64" s="115"/>
      <c r="M64" s="115"/>
      <c r="N64" s="115"/>
      <c r="O64" s="115">
        <v>41.44</v>
      </c>
      <c r="P64" s="115">
        <f>#N/A</f>
        <v>2.5600000000000023</v>
      </c>
      <c r="Q64" s="155">
        <f>#N/A</f>
        <v>1.0617760617760619</v>
      </c>
      <c r="R64" s="115">
        <v>31.68</v>
      </c>
      <c r="S64" s="115">
        <f>#N/A</f>
        <v>-18.45</v>
      </c>
      <c r="T64" s="155">
        <f>#N/A</f>
        <v>0.41761363636363635</v>
      </c>
      <c r="U64" s="107">
        <f>F64-липень!F64</f>
        <v>4</v>
      </c>
      <c r="V64" s="110">
        <f>G64-липень!G64</f>
        <v>2.67</v>
      </c>
      <c r="W64" s="111">
        <f>#N/A</f>
        <v>-4</v>
      </c>
      <c r="X64" s="155">
        <f>#N/A</f>
        <v>0</v>
      </c>
      <c r="Y64" s="197">
        <f>#N/A</f>
        <v>-0.6441624254124255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4000</v>
      </c>
      <c r="G65" s="106">
        <v>4679</v>
      </c>
      <c r="H65" s="102">
        <f>#N/A</f>
        <v>60</v>
      </c>
      <c r="I65" s="213">
        <f>#N/A</f>
        <v>1.015</v>
      </c>
      <c r="J65" s="115">
        <f>#N/A</f>
        <v>-1940</v>
      </c>
      <c r="K65" s="155">
        <f>#N/A</f>
        <v>0.6766666666666666</v>
      </c>
      <c r="L65" s="115"/>
      <c r="M65" s="115"/>
      <c r="N65" s="115"/>
      <c r="O65" s="115">
        <v>6545.96</v>
      </c>
      <c r="P65" s="115">
        <f>#N/A</f>
        <v>-545.96</v>
      </c>
      <c r="Q65" s="155">
        <f>#N/A</f>
        <v>0.9165958850955398</v>
      </c>
      <c r="R65" s="115">
        <v>4333.34</v>
      </c>
      <c r="S65" s="115">
        <f>#N/A</f>
        <v>-273.34000000000015</v>
      </c>
      <c r="T65" s="155">
        <f>#N/A</f>
        <v>0.9369216355051762</v>
      </c>
      <c r="U65" s="107">
        <f>F65-липень!F65</f>
        <v>500</v>
      </c>
      <c r="V65" s="110">
        <f>G65-липень!G65</f>
        <v>619</v>
      </c>
      <c r="W65" s="111">
        <f>#N/A</f>
        <v>-500</v>
      </c>
      <c r="X65" s="155">
        <f>#N/A</f>
        <v>0</v>
      </c>
      <c r="Y65" s="197">
        <f>#N/A</f>
        <v>0.020325750409636356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f>F67+F68+F70</f>
        <v>567.6400000000001</v>
      </c>
      <c r="G66" s="106">
        <v>528.1</v>
      </c>
      <c r="H66" s="102">
        <f>#N/A</f>
        <v>-104.44000000000011</v>
      </c>
      <c r="I66" s="213">
        <f>#N/A</f>
        <v>0.8160101472764426</v>
      </c>
      <c r="J66" s="115">
        <f>#N/A</f>
        <v>-402.8</v>
      </c>
      <c r="K66" s="155">
        <f>#N/A</f>
        <v>0.5348729792147806</v>
      </c>
      <c r="L66" s="115"/>
      <c r="M66" s="115"/>
      <c r="N66" s="115"/>
      <c r="O66" s="115">
        <v>896.22</v>
      </c>
      <c r="P66" s="115">
        <f>#N/A</f>
        <v>-30.220000000000027</v>
      </c>
      <c r="Q66" s="155">
        <f>#N/A</f>
        <v>0.9662806007453527</v>
      </c>
      <c r="R66" s="115">
        <v>550.99</v>
      </c>
      <c r="S66" s="115">
        <f>#N/A</f>
        <v>-87.79000000000002</v>
      </c>
      <c r="T66" s="155">
        <f>#N/A</f>
        <v>0.8406686146754024</v>
      </c>
      <c r="U66" s="107">
        <f>F66-липень!F66</f>
        <v>74.50000000000011</v>
      </c>
      <c r="V66" s="110">
        <f>G66-липень!G66</f>
        <v>70.33000000000004</v>
      </c>
      <c r="W66" s="111">
        <f>#N/A</f>
        <v>-69.0700000000001</v>
      </c>
      <c r="X66" s="155">
        <f>#N/A</f>
        <v>0.07288590604026844</v>
      </c>
      <c r="Y66" s="197">
        <f>#N/A</f>
        <v>-0.12561198606995028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475.42</v>
      </c>
      <c r="G67" s="94">
        <v>365.32</v>
      </c>
      <c r="H67" s="71">
        <f>#N/A</f>
        <v>-110.10000000000002</v>
      </c>
      <c r="I67" s="209">
        <f>#N/A</f>
        <v>0.7684152959488452</v>
      </c>
      <c r="J67" s="72">
        <f>#N/A</f>
        <v>-362.88000000000005</v>
      </c>
      <c r="K67" s="75">
        <f>#N/A</f>
        <v>0.5016753639110134</v>
      </c>
      <c r="L67" s="72"/>
      <c r="M67" s="72"/>
      <c r="N67" s="72"/>
      <c r="O67" s="72">
        <v>760.62</v>
      </c>
      <c r="P67" s="72">
        <f>#N/A</f>
        <v>-32.41999999999996</v>
      </c>
      <c r="Q67" s="75">
        <f>#N/A</f>
        <v>0.957376876758434</v>
      </c>
      <c r="R67" s="72">
        <v>466.98</v>
      </c>
      <c r="S67" s="203">
        <f>#N/A</f>
        <v>-101.66000000000003</v>
      </c>
      <c r="T67" s="204">
        <f>#N/A</f>
        <v>0.7823033106342884</v>
      </c>
      <c r="U67" s="73">
        <f>F67-липень!F67</f>
        <v>63</v>
      </c>
      <c r="V67" s="98">
        <f>G67-липень!G67</f>
        <v>0</v>
      </c>
      <c r="W67" s="74">
        <f>#N/A</f>
        <v>-63</v>
      </c>
      <c r="X67" s="75">
        <f>#N/A</f>
        <v>0</v>
      </c>
      <c r="Y67" s="197">
        <f>#N/A</f>
        <v>-0.1750735661241456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0.6</v>
      </c>
      <c r="G68" s="94">
        <v>0.15</v>
      </c>
      <c r="H68" s="71">
        <f>#N/A</f>
        <v>-0.44999999999999996</v>
      </c>
      <c r="I68" s="209">
        <f>#N/A</f>
        <v>0.25</v>
      </c>
      <c r="J68" s="72">
        <f>#N/A</f>
        <v>-0.85</v>
      </c>
      <c r="K68" s="75">
        <f>#N/A</f>
        <v>0.15</v>
      </c>
      <c r="L68" s="72"/>
      <c r="M68" s="72"/>
      <c r="N68" s="72"/>
      <c r="O68" s="72">
        <v>0.18</v>
      </c>
      <c r="P68" s="72">
        <f>#N/A</f>
        <v>0.8200000000000001</v>
      </c>
      <c r="Q68" s="75">
        <f>#N/A</f>
        <v>5.555555555555555</v>
      </c>
      <c r="R68" s="72">
        <v>0.15</v>
      </c>
      <c r="S68" s="203">
        <f>#N/A</f>
        <v>0</v>
      </c>
      <c r="T68" s="204">
        <f>#N/A</f>
        <v>1</v>
      </c>
      <c r="U68" s="73">
        <f>F68-липень!F68</f>
        <v>0.09999999999999998</v>
      </c>
      <c r="V68" s="98">
        <f>G68-липень!G68</f>
        <v>0</v>
      </c>
      <c r="W68" s="74">
        <f>#N/A</f>
        <v>-0.09999999999999998</v>
      </c>
      <c r="X68" s="75"/>
      <c r="Y68" s="197">
        <f>#N/A</f>
        <v>-4.555555555555555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>#N/A</f>
        <v>0</v>
      </c>
      <c r="I69" s="209" t="e">
        <f>#N/A</f>
        <v>#DIV/0!</v>
      </c>
      <c r="J69" s="72">
        <f>#N/A</f>
        <v>0</v>
      </c>
      <c r="K69" s="75" t="e">
        <f>#N/A</f>
        <v>#DIV/0!</v>
      </c>
      <c r="L69" s="72"/>
      <c r="M69" s="72"/>
      <c r="N69" s="72"/>
      <c r="O69" s="72">
        <v>0</v>
      </c>
      <c r="P69" s="72">
        <f>#N/A</f>
        <v>0</v>
      </c>
      <c r="Q69" s="75" t="e">
        <f>#N/A</f>
        <v>#DIV/0!</v>
      </c>
      <c r="R69" s="72">
        <f>O69</f>
        <v>0</v>
      </c>
      <c r="S69" s="203">
        <f>#N/A</f>
        <v>0</v>
      </c>
      <c r="T69" s="204" t="e">
        <f>#N/A</f>
        <v>#DIV/0!</v>
      </c>
      <c r="U69" s="73">
        <f>F69-липень!F69</f>
        <v>0</v>
      </c>
      <c r="V69" s="98">
        <f>G69-липень!G69</f>
        <v>0</v>
      </c>
      <c r="W69" s="74">
        <f>#N/A</f>
        <v>0</v>
      </c>
      <c r="X69" s="75"/>
      <c r="Y69" s="197" t="e">
        <f>#N/A</f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91.62</v>
      </c>
      <c r="G70" s="94">
        <v>92.29</v>
      </c>
      <c r="H70" s="71">
        <f>#N/A</f>
        <v>0.6700000000000017</v>
      </c>
      <c r="I70" s="209">
        <f>#N/A</f>
        <v>1.0073128137961145</v>
      </c>
      <c r="J70" s="72">
        <f>#N/A</f>
        <v>-44.510000000000005</v>
      </c>
      <c r="K70" s="75">
        <f>#N/A</f>
        <v>0.6746345029239766</v>
      </c>
      <c r="L70" s="72"/>
      <c r="M70" s="72"/>
      <c r="N70" s="72"/>
      <c r="O70" s="72">
        <v>135.42</v>
      </c>
      <c r="P70" s="72">
        <f>#N/A</f>
        <v>1.3800000000000239</v>
      </c>
      <c r="Q70" s="75">
        <f>#N/A</f>
        <v>1.01019051838724</v>
      </c>
      <c r="R70" s="72">
        <v>83.86</v>
      </c>
      <c r="S70" s="203">
        <f>#N/A</f>
        <v>8.430000000000007</v>
      </c>
      <c r="T70" s="204">
        <f>#N/A</f>
        <v>1.100524683997138</v>
      </c>
      <c r="U70" s="73">
        <f>F70-липень!F70</f>
        <v>11.400000000000006</v>
      </c>
      <c r="V70" s="98">
        <f>G70-липень!G70</f>
        <v>0</v>
      </c>
      <c r="W70" s="74">
        <f>#N/A</f>
        <v>-11.400000000000006</v>
      </c>
      <c r="X70" s="75">
        <f>#N/A</f>
        <v>0</v>
      </c>
      <c r="Y70" s="197">
        <f>#N/A</f>
        <v>0.09033416560989815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0.15</v>
      </c>
      <c r="H71" s="102">
        <f>#N/A</f>
        <v>-1.35</v>
      </c>
      <c r="I71" s="213">
        <f>#N/A</f>
        <v>0.09999999999999999</v>
      </c>
      <c r="J71" s="115">
        <f>#N/A</f>
        <v>-2.85</v>
      </c>
      <c r="K71" s="155">
        <f>#N/A</f>
        <v>0.049999999999999996</v>
      </c>
      <c r="L71" s="115"/>
      <c r="M71" s="115"/>
      <c r="N71" s="115"/>
      <c r="O71" s="115">
        <v>2.04</v>
      </c>
      <c r="P71" s="115">
        <f>#N/A</f>
        <v>0.96</v>
      </c>
      <c r="Q71" s="155">
        <f>#N/A</f>
        <v>1.4705882352941175</v>
      </c>
      <c r="R71" s="115">
        <v>2.04</v>
      </c>
      <c r="S71" s="115">
        <f>#N/A</f>
        <v>-1.8900000000000001</v>
      </c>
      <c r="T71" s="155">
        <f>#N/A</f>
        <v>0.07352941176470588</v>
      </c>
      <c r="U71" s="107">
        <f>F71-липень!F71</f>
        <v>0</v>
      </c>
      <c r="V71" s="110">
        <f>G71-липень!G71</f>
        <v>0</v>
      </c>
      <c r="W71" s="111">
        <f>#N/A</f>
        <v>0</v>
      </c>
      <c r="X71" s="155"/>
      <c r="Y71" s="197">
        <f>#N/A</f>
        <v>-1.3970588235294117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5328.65</v>
      </c>
      <c r="G72" s="106">
        <v>4154.5</v>
      </c>
      <c r="H72" s="102">
        <f>#N/A</f>
        <v>-1502.9499999999998</v>
      </c>
      <c r="I72" s="213">
        <f>#N/A</f>
        <v>0.7179491991404953</v>
      </c>
      <c r="J72" s="115">
        <f>#N/A</f>
        <v>-4344.3</v>
      </c>
      <c r="K72" s="155">
        <f>#N/A</f>
        <v>0.46826193390452875</v>
      </c>
      <c r="L72" s="115"/>
      <c r="M72" s="115"/>
      <c r="N72" s="115"/>
      <c r="O72" s="115">
        <v>8086.92</v>
      </c>
      <c r="P72" s="115">
        <f>#N/A</f>
        <v>83.07999999999993</v>
      </c>
      <c r="Q72" s="155">
        <f>#N/A</f>
        <v>1.0102733797292418</v>
      </c>
      <c r="R72" s="115">
        <v>5877.33</v>
      </c>
      <c r="S72" s="115">
        <f>#N/A</f>
        <v>-2051.63</v>
      </c>
      <c r="T72" s="155">
        <f>#N/A</f>
        <v>0.650924824707818</v>
      </c>
      <c r="U72" s="107">
        <f>F72-липень!F72</f>
        <v>680</v>
      </c>
      <c r="V72" s="110">
        <f>G72-липень!G72</f>
        <v>330.5300000000002</v>
      </c>
      <c r="W72" s="111">
        <f>#N/A</f>
        <v>-678.27</v>
      </c>
      <c r="X72" s="155">
        <f>#N/A</f>
        <v>0.0025441176470588503</v>
      </c>
      <c r="Y72" s="197">
        <f>#N/A</f>
        <v>-0.3593485550214238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>#N/A</f>
        <v>0</v>
      </c>
      <c r="I73" s="213" t="e">
        <f>G73/F73*100</f>
        <v>#DIV/0!</v>
      </c>
      <c r="J73" s="115">
        <f>#N/A</f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>#N/A</f>
        <v>0</v>
      </c>
      <c r="T73" s="155" t="e">
        <f>#N/A</f>
        <v>#DIV/0!</v>
      </c>
      <c r="U73" s="107">
        <f>F73-липень!F73</f>
        <v>0</v>
      </c>
      <c r="V73" s="110">
        <f>G73-липень!G73</f>
        <v>0</v>
      </c>
      <c r="W73" s="111">
        <f>#N/A</f>
        <v>0</v>
      </c>
      <c r="X73" s="155" t="e">
        <f>#N/A</f>
        <v>#DIV/0!</v>
      </c>
      <c r="Y73" s="197" t="e">
        <f>#N/A</f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>#N/A</f>
        <v>0</v>
      </c>
      <c r="U74" s="107">
        <f>F74-липень!F74</f>
        <v>0</v>
      </c>
      <c r="V74" s="110">
        <f>G74-липень!G74</f>
        <v>0</v>
      </c>
      <c r="W74" s="116">
        <f>V74-U74</f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>#N/A</f>
        <v>0</v>
      </c>
      <c r="I75" s="213" t="e">
        <f>G75/F75*100</f>
        <v>#DIV/0!</v>
      </c>
      <c r="J75" s="115">
        <f>#N/A</f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>#N/A</f>
        <v>0</v>
      </c>
      <c r="T75" s="155" t="e">
        <f>#N/A</f>
        <v>#DIV/0!</v>
      </c>
      <c r="U75" s="107">
        <f>F75-липень!F75</f>
        <v>0</v>
      </c>
      <c r="V75" s="110">
        <f>G75-липень!G75</f>
        <v>0</v>
      </c>
      <c r="W75" s="111">
        <f>V75-U75</f>
        <v>0</v>
      </c>
      <c r="X75" s="155" t="e">
        <f>#N/A</f>
        <v>#DIV/0!</v>
      </c>
      <c r="Y75" s="197" t="e">
        <f>#N/A</f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30</v>
      </c>
      <c r="G76" s="106">
        <v>0</v>
      </c>
      <c r="H76" s="102">
        <f>#N/A</f>
        <v>-30</v>
      </c>
      <c r="I76" s="213">
        <f>G76/F76</f>
        <v>0</v>
      </c>
      <c r="J76" s="115">
        <f>#N/A</f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60.14</v>
      </c>
      <c r="S76" s="115">
        <f>#N/A</f>
        <v>-60.14</v>
      </c>
      <c r="T76" s="155">
        <f>#N/A</f>
        <v>0</v>
      </c>
      <c r="U76" s="107">
        <f>F76-липень!F76</f>
        <v>0</v>
      </c>
      <c r="V76" s="110">
        <f>G76-липень!G76</f>
        <v>0</v>
      </c>
      <c r="W76" s="111">
        <f>V76-U76</f>
        <v>0</v>
      </c>
      <c r="X76" s="155" t="e">
        <f>#N/A</f>
        <v>#DIV/0!</v>
      </c>
      <c r="Y76" s="197">
        <f>#N/A</f>
        <v>-1.2266141510761006</v>
      </c>
    </row>
    <row r="77" spans="1:25" s="6" customFormat="1" ht="44.25" customHeight="1">
      <c r="A77" s="8"/>
      <c r="B77" s="89" t="s">
        <v>238</v>
      </c>
      <c r="C77" s="34">
        <v>24062200</v>
      </c>
      <c r="D77" s="233"/>
      <c r="E77" s="102"/>
      <c r="F77" s="102"/>
      <c r="G77" s="106">
        <v>20.5</v>
      </c>
      <c r="H77" s="102">
        <f>#N/A</f>
        <v>0.09</v>
      </c>
      <c r="I77" s="213"/>
      <c r="J77" s="115">
        <f>#N/A</f>
        <v>0.09</v>
      </c>
      <c r="K77" s="155"/>
      <c r="L77" s="115"/>
      <c r="M77" s="115"/>
      <c r="N77" s="115"/>
      <c r="O77" s="115"/>
      <c r="P77" s="115"/>
      <c r="Q77" s="155"/>
      <c r="R77" s="115"/>
      <c r="S77" s="115"/>
      <c r="T77" s="155"/>
      <c r="U77" s="107">
        <f>F77-липень!F77</f>
        <v>0</v>
      </c>
      <c r="V77" s="110">
        <f>G77-липень!G77</f>
        <v>20.41</v>
      </c>
      <c r="W77" s="111"/>
      <c r="X77" s="155"/>
      <c r="Y77" s="197"/>
    </row>
    <row r="78" spans="1:25" s="6" customFormat="1" ht="27.75" customHeight="1">
      <c r="A78" s="8"/>
      <c r="B78" s="89" t="s">
        <v>39</v>
      </c>
      <c r="C78" s="34">
        <v>31010200</v>
      </c>
      <c r="D78" s="233">
        <v>35</v>
      </c>
      <c r="E78" s="102">
        <v>35</v>
      </c>
      <c r="F78" s="102">
        <v>24.07</v>
      </c>
      <c r="G78" s="106">
        <v>8</v>
      </c>
      <c r="H78" s="102">
        <f>#N/A</f>
        <v>-16.13</v>
      </c>
      <c r="I78" s="213">
        <f>G78/F78</f>
        <v>0.3323639385126714</v>
      </c>
      <c r="J78" s="115">
        <f>#N/A</f>
        <v>-27.06</v>
      </c>
      <c r="K78" s="155">
        <f>G78/E78</f>
        <v>0.22857142857142856</v>
      </c>
      <c r="L78" s="115"/>
      <c r="M78" s="115"/>
      <c r="N78" s="115"/>
      <c r="O78" s="115">
        <v>34.22</v>
      </c>
      <c r="P78" s="115">
        <f>E78-O78</f>
        <v>0.7800000000000011</v>
      </c>
      <c r="Q78" s="155">
        <f>E78/O78</f>
        <v>1.0227936879018118</v>
      </c>
      <c r="R78" s="115">
        <v>30.95</v>
      </c>
      <c r="S78" s="115">
        <f>#N/A</f>
        <v>-23.009999999999998</v>
      </c>
      <c r="T78" s="155">
        <f>#N/A</f>
        <v>0.25654281098546045</v>
      </c>
      <c r="U78" s="107">
        <f>F78-липень!F78</f>
        <v>2.8999999999999986</v>
      </c>
      <c r="V78" s="110">
        <f>G78-липень!G78</f>
        <v>0.05999999999999961</v>
      </c>
      <c r="W78" s="111">
        <f>V78-U78</f>
        <v>-2.839999999999999</v>
      </c>
      <c r="X78" s="155">
        <f>#N/A</f>
        <v>0</v>
      </c>
      <c r="Y78" s="197">
        <f>#N/A</f>
        <v>-0.7662508769163514</v>
      </c>
    </row>
    <row r="79" spans="1:25" s="6" customFormat="1" ht="30.75">
      <c r="A79" s="8"/>
      <c r="B79" s="89" t="s">
        <v>49</v>
      </c>
      <c r="C79" s="34">
        <v>31020000</v>
      </c>
      <c r="D79" s="229"/>
      <c r="E79" s="102">
        <v>0</v>
      </c>
      <c r="F79" s="102">
        <f>E79</f>
        <v>0</v>
      </c>
      <c r="G79" s="106">
        <v>0.68</v>
      </c>
      <c r="H79" s="102">
        <f>#N/A</f>
        <v>0.68</v>
      </c>
      <c r="I79" s="213" t="e">
        <f>G79/F79</f>
        <v>#DIV/0!</v>
      </c>
      <c r="J79" s="115">
        <f>#N/A</f>
        <v>0.68</v>
      </c>
      <c r="K79" s="155"/>
      <c r="L79" s="115"/>
      <c r="M79" s="115"/>
      <c r="N79" s="115"/>
      <c r="O79" s="115">
        <v>-4.86</v>
      </c>
      <c r="P79" s="115">
        <f>E79-O79</f>
        <v>4.86</v>
      </c>
      <c r="Q79" s="155">
        <f>E79/O79</f>
        <v>0</v>
      </c>
      <c r="R79" s="115">
        <v>-5.17</v>
      </c>
      <c r="S79" s="115">
        <f>#N/A</f>
        <v>5.85</v>
      </c>
      <c r="T79" s="155">
        <f>#N/A</f>
        <v>-0.13152804642166346</v>
      </c>
      <c r="U79" s="107">
        <f>F79-липень!F79</f>
        <v>0</v>
      </c>
      <c r="V79" s="110">
        <f>G79-липень!G79</f>
        <v>0</v>
      </c>
      <c r="W79" s="111">
        <f>V79-U79</f>
        <v>0</v>
      </c>
      <c r="X79" s="155"/>
      <c r="Y79" s="197">
        <f>#N/A</f>
        <v>-0.13152804642166346</v>
      </c>
    </row>
    <row r="80" spans="1:25" s="6" customFormat="1" ht="17.25">
      <c r="A80" s="9"/>
      <c r="B80" s="13" t="s">
        <v>104</v>
      </c>
      <c r="C80" s="50"/>
      <c r="D80" s="14">
        <f>D8+D53+D78+D79</f>
        <v>1627917.7</v>
      </c>
      <c r="E80" s="103">
        <f>E8+E53+E78+E79</f>
        <v>1653534.7999999998</v>
      </c>
      <c r="F80" s="103">
        <f>F8+F53+F78+F79</f>
        <v>1053847.66</v>
      </c>
      <c r="G80" s="103">
        <f>G8+G53+G78+G79</f>
        <v>1055837.5499999998</v>
      </c>
      <c r="H80" s="103">
        <f>G80-F80</f>
        <v>1989.8899999998976</v>
      </c>
      <c r="I80" s="210">
        <f>G80/F80</f>
        <v>1.001888214089691</v>
      </c>
      <c r="J80" s="104">
        <f>G80-E80</f>
        <v>-597697.25</v>
      </c>
      <c r="K80" s="156">
        <f>G80/E80</f>
        <v>0.6385336129605497</v>
      </c>
      <c r="L80" s="104"/>
      <c r="M80" s="104"/>
      <c r="N80" s="104"/>
      <c r="O80" s="104">
        <v>1398996.46</v>
      </c>
      <c r="P80" s="104">
        <f>E80-O80</f>
        <v>254538.33999999985</v>
      </c>
      <c r="Q80" s="156">
        <f>E80/O80</f>
        <v>1.1819435197141241</v>
      </c>
      <c r="R80" s="103">
        <v>885514.16</v>
      </c>
      <c r="S80" s="104">
        <f>G80-R80</f>
        <v>170323.38999999978</v>
      </c>
      <c r="T80" s="156">
        <f>G80/R80</f>
        <v>1.1923440614433538</v>
      </c>
      <c r="U80" s="103">
        <f>U8+U53+U78+U79</f>
        <v>145635.56999999986</v>
      </c>
      <c r="V80" s="103">
        <f>V8+V53+V78+V79</f>
        <v>116586.69999999997</v>
      </c>
      <c r="W80" s="135">
        <f>V80-U80</f>
        <v>-29048.869999999893</v>
      </c>
      <c r="X80" s="156">
        <f>V80/U80</f>
        <v>0.8005372588578469</v>
      </c>
      <c r="Y80" s="197">
        <f>#N/A</f>
        <v>-0.11717248318998763</v>
      </c>
    </row>
    <row r="81" spans="1:25" s="39" customFormat="1" ht="17.25" hidden="1">
      <c r="A81" s="36"/>
      <c r="B81" s="43"/>
      <c r="C81" s="51"/>
      <c r="D81" s="239"/>
      <c r="E81" s="37"/>
      <c r="F81" s="37"/>
      <c r="G81" s="63"/>
      <c r="H81" s="61"/>
      <c r="I81" s="214"/>
      <c r="J81" s="42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38"/>
      <c r="V81" s="37"/>
      <c r="W81" s="62"/>
      <c r="X81" s="68"/>
      <c r="Y81" s="197">
        <f>#N/A</f>
        <v>0</v>
      </c>
    </row>
    <row r="82" spans="1:25" s="39" customFormat="1" ht="17.25" hidden="1">
      <c r="A82" s="36"/>
      <c r="B82" s="44"/>
      <c r="C82" s="51"/>
      <c r="D82" s="239"/>
      <c r="E82" s="45"/>
      <c r="F82" s="37"/>
      <c r="G82" s="63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37"/>
      <c r="W82" s="47"/>
      <c r="X82" s="68"/>
      <c r="Y82" s="197">
        <f>#N/A</f>
        <v>0</v>
      </c>
    </row>
    <row r="83" spans="1:25" s="39" customFormat="1" ht="17.25" hidden="1">
      <c r="A83" s="36"/>
      <c r="B83" s="44"/>
      <c r="C83" s="51"/>
      <c r="D83" s="239"/>
      <c r="E83" s="45"/>
      <c r="F83" s="27"/>
      <c r="G83" s="76"/>
      <c r="H83" s="32"/>
      <c r="I83" s="214"/>
      <c r="J83" s="46"/>
      <c r="K83" s="68"/>
      <c r="L83" s="28"/>
      <c r="M83" s="28"/>
      <c r="N83" s="28"/>
      <c r="O83" s="28"/>
      <c r="P83" s="28"/>
      <c r="Q83" s="68"/>
      <c r="R83" s="28"/>
      <c r="S83" s="28"/>
      <c r="T83" s="28"/>
      <c r="U83" s="23"/>
      <c r="V83" s="45"/>
      <c r="W83" s="62"/>
      <c r="X83" s="68"/>
      <c r="Y83" s="197">
        <f>#N/A</f>
        <v>0</v>
      </c>
    </row>
    <row r="84" spans="2:25" ht="15">
      <c r="B84" s="19" t="s">
        <v>91</v>
      </c>
      <c r="C84" s="52"/>
      <c r="D84" s="240"/>
      <c r="E84" s="21"/>
      <c r="F84" s="21"/>
      <c r="G84" s="96"/>
      <c r="H84" s="27"/>
      <c r="I84" s="215"/>
      <c r="J84" s="31"/>
      <c r="K84" s="69"/>
      <c r="L84" s="31"/>
      <c r="M84" s="31"/>
      <c r="N84" s="31"/>
      <c r="O84" s="31"/>
      <c r="P84" s="31"/>
      <c r="Q84" s="69"/>
      <c r="R84" s="31"/>
      <c r="S84" s="31"/>
      <c r="T84" s="31"/>
      <c r="U84" s="24"/>
      <c r="V84" s="100"/>
      <c r="W84" s="29"/>
      <c r="X84" s="69"/>
      <c r="Y84" s="197">
        <f>#N/A</f>
        <v>0</v>
      </c>
    </row>
    <row r="85" spans="2:25" ht="25.5" customHeight="1" hidden="1">
      <c r="B85" s="165" t="s">
        <v>87</v>
      </c>
      <c r="C85" s="90">
        <v>12020000</v>
      </c>
      <c r="D85" s="241"/>
      <c r="E85" s="125">
        <v>0</v>
      </c>
      <c r="F85" s="125"/>
      <c r="G85" s="126">
        <v>0.01</v>
      </c>
      <c r="H85" s="112"/>
      <c r="I85" s="213"/>
      <c r="J85" s="117"/>
      <c r="K85" s="147"/>
      <c r="L85" s="117"/>
      <c r="M85" s="117"/>
      <c r="N85" s="117"/>
      <c r="O85" s="117"/>
      <c r="P85" s="117"/>
      <c r="Q85" s="147"/>
      <c r="R85" s="117">
        <f>O85</f>
        <v>0</v>
      </c>
      <c r="S85" s="117">
        <f>G85-R85</f>
        <v>0.01</v>
      </c>
      <c r="T85" s="147" t="e">
        <f>G85/R85</f>
        <v>#DIV/0!</v>
      </c>
      <c r="U85" s="112">
        <f>F85-липень!F85</f>
        <v>0</v>
      </c>
      <c r="V85" s="110">
        <f>G85-липень!G85</f>
        <v>0</v>
      </c>
      <c r="W85" s="117"/>
      <c r="X85" s="147"/>
      <c r="Y85" s="197" t="e">
        <f>#N/A</f>
        <v>#DIV/0!</v>
      </c>
    </row>
    <row r="86" spans="2:25" ht="31.5" hidden="1">
      <c r="B86" s="20" t="s">
        <v>52</v>
      </c>
      <c r="C86" s="58">
        <v>18041500</v>
      </c>
      <c r="D86" s="242"/>
      <c r="E86" s="125">
        <v>0</v>
      </c>
      <c r="F86" s="125">
        <v>0</v>
      </c>
      <c r="G86" s="126">
        <v>0</v>
      </c>
      <c r="H86" s="112">
        <f>G86-F86</f>
        <v>0</v>
      </c>
      <c r="I86" s="213"/>
      <c r="J86" s="117">
        <f>G86-E86</f>
        <v>0</v>
      </c>
      <c r="K86" s="147"/>
      <c r="L86" s="117"/>
      <c r="M86" s="117"/>
      <c r="N86" s="117"/>
      <c r="O86" s="117">
        <v>-2.64</v>
      </c>
      <c r="P86" s="117">
        <f>E86-O86</f>
        <v>2.64</v>
      </c>
      <c r="Q86" s="147">
        <f>E86/O86</f>
        <v>0</v>
      </c>
      <c r="R86" s="117">
        <v>-2.64</v>
      </c>
      <c r="S86" s="117">
        <f>G86-R86</f>
        <v>2.64</v>
      </c>
      <c r="T86" s="147">
        <f>G86/R86</f>
        <v>0</v>
      </c>
      <c r="U86" s="112">
        <f>F86-липень!F86</f>
        <v>0</v>
      </c>
      <c r="V86" s="110">
        <f>G86-липень!G86</f>
        <v>0</v>
      </c>
      <c r="W86" s="117">
        <f>V86-U86</f>
        <v>0</v>
      </c>
      <c r="X86" s="147"/>
      <c r="Y86" s="197">
        <f>#N/A</f>
        <v>0</v>
      </c>
    </row>
    <row r="87" spans="2:25" ht="17.25" hidden="1">
      <c r="B87" s="22" t="s">
        <v>40</v>
      </c>
      <c r="C87" s="59"/>
      <c r="D87" s="127">
        <f>D86</f>
        <v>0</v>
      </c>
      <c r="E87" s="127">
        <f>E86</f>
        <v>0</v>
      </c>
      <c r="F87" s="127">
        <f>F86</f>
        <v>0</v>
      </c>
      <c r="G87" s="128">
        <f>SUM(G85:G86)</f>
        <v>0.01</v>
      </c>
      <c r="H87" s="129">
        <f>G87-F87</f>
        <v>0.01</v>
      </c>
      <c r="I87" s="216"/>
      <c r="J87" s="131">
        <f>G87-E87</f>
        <v>0.01</v>
      </c>
      <c r="K87" s="151"/>
      <c r="L87" s="131"/>
      <c r="M87" s="131"/>
      <c r="N87" s="131"/>
      <c r="O87" s="131">
        <v>-2.64</v>
      </c>
      <c r="P87" s="131">
        <f>E87-O87</f>
        <v>2.64</v>
      </c>
      <c r="Q87" s="151">
        <f>E87/O87</f>
        <v>0</v>
      </c>
      <c r="R87" s="131">
        <v>-2.64</v>
      </c>
      <c r="S87" s="131">
        <f>#N/A</f>
        <v>2.65</v>
      </c>
      <c r="T87" s="151">
        <f>#N/A</f>
        <v>-0.003787878787878788</v>
      </c>
      <c r="U87" s="129">
        <f>F87-липень!F87</f>
        <v>0</v>
      </c>
      <c r="V87" s="174">
        <f>G87-липень!G87</f>
        <v>0</v>
      </c>
      <c r="W87" s="131">
        <f>V87-U87</f>
        <v>0</v>
      </c>
      <c r="X87" s="151"/>
      <c r="Y87" s="197">
        <f>#N/A</f>
        <v>-0.003787878787878788</v>
      </c>
    </row>
    <row r="88" spans="2:25" ht="45.75">
      <c r="B88" s="22" t="s">
        <v>32</v>
      </c>
      <c r="C88" s="90">
        <v>21110000</v>
      </c>
      <c r="D88" s="241">
        <v>0</v>
      </c>
      <c r="E88" s="127">
        <v>0</v>
      </c>
      <c r="F88" s="127">
        <v>0</v>
      </c>
      <c r="G88" s="128">
        <v>9.43</v>
      </c>
      <c r="H88" s="129">
        <f>#N/A</f>
        <v>9.43</v>
      </c>
      <c r="I88" s="216"/>
      <c r="J88" s="131">
        <f>G88-E88</f>
        <v>9.43</v>
      </c>
      <c r="K88" s="151"/>
      <c r="L88" s="131"/>
      <c r="M88" s="131"/>
      <c r="N88" s="131"/>
      <c r="O88" s="131">
        <v>35.57</v>
      </c>
      <c r="P88" s="131">
        <f>#N/A</f>
        <v>-35.57</v>
      </c>
      <c r="Q88" s="151">
        <f>#N/A</f>
        <v>0</v>
      </c>
      <c r="R88" s="131">
        <v>35.57</v>
      </c>
      <c r="S88" s="131">
        <f>#N/A</f>
        <v>-26.14</v>
      </c>
      <c r="T88" s="147"/>
      <c r="U88" s="129">
        <f>F88-липень!F88</f>
        <v>0</v>
      </c>
      <c r="V88" s="174">
        <f>G88-червень!G88</f>
        <v>0</v>
      </c>
      <c r="W88" s="131">
        <f>#N/A</f>
        <v>0</v>
      </c>
      <c r="X88" s="151"/>
      <c r="Y88" s="197"/>
    </row>
    <row r="89" spans="2:25" ht="31.5">
      <c r="B89" s="20" t="s">
        <v>28</v>
      </c>
      <c r="C89" s="58">
        <v>31030000</v>
      </c>
      <c r="D89" s="256">
        <v>5000</v>
      </c>
      <c r="E89" s="125">
        <f>5000+3318.039</f>
        <v>8318.039</v>
      </c>
      <c r="F89" s="125">
        <v>2500.03</v>
      </c>
      <c r="G89" s="126">
        <v>1597.11</v>
      </c>
      <c r="H89" s="112">
        <f>#N/A</f>
        <v>-902.9200000000003</v>
      </c>
      <c r="I89" s="213">
        <f>G89/F89</f>
        <v>0.6388363339639923</v>
      </c>
      <c r="J89" s="117">
        <f>G89-E89</f>
        <v>-6720.929000000001</v>
      </c>
      <c r="K89" s="147">
        <f>G89/E89</f>
        <v>0.1920055917025635</v>
      </c>
      <c r="L89" s="117"/>
      <c r="M89" s="117"/>
      <c r="N89" s="117"/>
      <c r="O89" s="117">
        <v>938.14</v>
      </c>
      <c r="P89" s="117">
        <f>#N/A</f>
        <v>7379.899</v>
      </c>
      <c r="Q89" s="147">
        <f>#N/A</f>
        <v>8.866522054277613</v>
      </c>
      <c r="R89" s="117">
        <v>3.81</v>
      </c>
      <c r="S89" s="117">
        <f>#N/A</f>
        <v>1593.3</v>
      </c>
      <c r="T89" s="147">
        <f>#N/A</f>
        <v>419.1889763779527</v>
      </c>
      <c r="U89" s="112">
        <f>F89-липень!F89</f>
        <v>500.0000000000002</v>
      </c>
      <c r="V89" s="118">
        <f>G89-липень!G89</f>
        <v>0</v>
      </c>
      <c r="W89" s="117">
        <f>#N/A</f>
        <v>-500.0000000000002</v>
      </c>
      <c r="X89" s="147">
        <f>V89/U89</f>
        <v>0</v>
      </c>
      <c r="Y89" s="197">
        <f>#N/A</f>
        <v>410.3224543236751</v>
      </c>
    </row>
    <row r="90" spans="2:25" ht="18">
      <c r="B90" s="20" t="s">
        <v>29</v>
      </c>
      <c r="C90" s="58">
        <v>33010000</v>
      </c>
      <c r="D90" s="256">
        <v>16449</v>
      </c>
      <c r="E90" s="125">
        <v>16449</v>
      </c>
      <c r="F90" s="125">
        <v>7015</v>
      </c>
      <c r="G90" s="126">
        <v>2001.4</v>
      </c>
      <c r="H90" s="112">
        <f>#N/A</f>
        <v>-5223.1900000000005</v>
      </c>
      <c r="I90" s="213">
        <f>G90/F90</f>
        <v>0.2853029223093371</v>
      </c>
      <c r="J90" s="117">
        <f>#N/A</f>
        <v>-14657.19</v>
      </c>
      <c r="K90" s="147">
        <f>G90/E90</f>
        <v>0.12167305003343669</v>
      </c>
      <c r="L90" s="117"/>
      <c r="M90" s="117"/>
      <c r="N90" s="117"/>
      <c r="O90" s="117">
        <v>8143.65</v>
      </c>
      <c r="P90" s="117">
        <f>#N/A</f>
        <v>8305.35</v>
      </c>
      <c r="Q90" s="147">
        <f>#N/A</f>
        <v>2.0198559613932328</v>
      </c>
      <c r="R90" s="117">
        <v>5970.15</v>
      </c>
      <c r="S90" s="117">
        <f>#N/A</f>
        <v>-4178.34</v>
      </c>
      <c r="T90" s="147">
        <f>#N/A</f>
        <v>0.3001281374839828</v>
      </c>
      <c r="U90" s="112">
        <f>F90-липень!F90</f>
        <v>1000</v>
      </c>
      <c r="V90" s="118">
        <f>G90-липень!G90</f>
        <v>209.59000000000015</v>
      </c>
      <c r="W90" s="117">
        <f>#N/A</f>
        <v>-1000</v>
      </c>
      <c r="X90" s="147">
        <f>V90/U90</f>
        <v>0.20959000000000014</v>
      </c>
      <c r="Y90" s="197">
        <f>#N/A</f>
        <v>-1.71972782390925</v>
      </c>
    </row>
    <row r="91" spans="2:25" ht="31.5">
      <c r="B91" s="20" t="s">
        <v>48</v>
      </c>
      <c r="C91" s="58">
        <v>24170000</v>
      </c>
      <c r="D91" s="256">
        <v>22000</v>
      </c>
      <c r="E91" s="125">
        <f>22000+15</f>
        <v>22015</v>
      </c>
      <c r="F91" s="125">
        <v>16000</v>
      </c>
      <c r="G91" s="126">
        <v>4594.1</v>
      </c>
      <c r="H91" s="112">
        <f>#N/A</f>
        <v>-11434.09</v>
      </c>
      <c r="I91" s="213">
        <f>G91/F91</f>
        <v>0.28713125</v>
      </c>
      <c r="J91" s="117">
        <f>#N/A</f>
        <v>-17449.09</v>
      </c>
      <c r="K91" s="147">
        <f>G91/E91</f>
        <v>0.2086804451510334</v>
      </c>
      <c r="L91" s="117"/>
      <c r="M91" s="117"/>
      <c r="N91" s="117"/>
      <c r="O91" s="117">
        <v>17305.88</v>
      </c>
      <c r="P91" s="117">
        <f>#N/A</f>
        <v>4709.119999999999</v>
      </c>
      <c r="Q91" s="147">
        <f>#N/A</f>
        <v>1.2721109819321526</v>
      </c>
      <c r="R91" s="117">
        <v>9033.92</v>
      </c>
      <c r="S91" s="117">
        <f>#N/A</f>
        <v>-4468.01</v>
      </c>
      <c r="T91" s="147">
        <f>#N/A</f>
        <v>0.5054184672877333</v>
      </c>
      <c r="U91" s="112">
        <f>F91-липень!F91</f>
        <v>2000</v>
      </c>
      <c r="V91" s="118">
        <f>G91-липень!G91</f>
        <v>28.19000000000051</v>
      </c>
      <c r="W91" s="117">
        <f>#N/A</f>
        <v>-2000</v>
      </c>
      <c r="X91" s="147">
        <f>V91/U91</f>
        <v>0.014095000000000255</v>
      </c>
      <c r="Y91" s="197">
        <f>#N/A</f>
        <v>-0.7666925146444192</v>
      </c>
    </row>
    <row r="92" spans="2:25" ht="18">
      <c r="B92" s="20" t="s">
        <v>88</v>
      </c>
      <c r="C92" s="58">
        <v>24110700</v>
      </c>
      <c r="D92" s="256">
        <v>24</v>
      </c>
      <c r="E92" s="125">
        <v>24</v>
      </c>
      <c r="F92" s="125">
        <v>16</v>
      </c>
      <c r="G92" s="126">
        <v>12</v>
      </c>
      <c r="H92" s="112">
        <f>#N/A</f>
        <v>-5</v>
      </c>
      <c r="I92" s="213">
        <f>G92/F92</f>
        <v>0.75</v>
      </c>
      <c r="J92" s="117">
        <f>#N/A</f>
        <v>-13</v>
      </c>
      <c r="K92" s="147">
        <f>G92/E92</f>
        <v>0.5</v>
      </c>
      <c r="L92" s="117"/>
      <c r="M92" s="117"/>
      <c r="N92" s="117"/>
      <c r="O92" s="117">
        <v>20</v>
      </c>
      <c r="P92" s="117">
        <f>#N/A</f>
        <v>4</v>
      </c>
      <c r="Q92" s="147">
        <f>#N/A</f>
        <v>1.2</v>
      </c>
      <c r="R92" s="117">
        <v>9</v>
      </c>
      <c r="S92" s="117">
        <f>#N/A</f>
        <v>2</v>
      </c>
      <c r="T92" s="147">
        <f>#N/A</f>
        <v>1.2222222222222223</v>
      </c>
      <c r="U92" s="112">
        <f>F92-липень!F92</f>
        <v>2</v>
      </c>
      <c r="V92" s="118">
        <f>G92-липень!G92</f>
        <v>1</v>
      </c>
      <c r="W92" s="117">
        <f>#N/A</f>
        <v>-2</v>
      </c>
      <c r="X92" s="147">
        <f>V92/U92</f>
        <v>0.5</v>
      </c>
      <c r="Y92" s="197">
        <f>#N/A</f>
        <v>0.022222222222222365</v>
      </c>
    </row>
    <row r="93" spans="2:25" ht="18">
      <c r="B93" s="20" t="s">
        <v>257</v>
      </c>
      <c r="C93" s="58">
        <v>21010800</v>
      </c>
      <c r="D93" s="256"/>
      <c r="E93" s="125"/>
      <c r="F93" s="125"/>
      <c r="G93" s="126">
        <v>0.17</v>
      </c>
      <c r="H93" s="112">
        <f>#N/A</f>
        <v>0.17</v>
      </c>
      <c r="I93" s="213"/>
      <c r="J93" s="117"/>
      <c r="K93" s="147"/>
      <c r="L93" s="117"/>
      <c r="M93" s="117"/>
      <c r="N93" s="117"/>
      <c r="O93" s="117"/>
      <c r="P93" s="117"/>
      <c r="Q93" s="147"/>
      <c r="R93" s="117"/>
      <c r="S93" s="117"/>
      <c r="T93" s="147"/>
      <c r="U93" s="112">
        <f>F93-липень!F93</f>
        <v>0</v>
      </c>
      <c r="V93" s="118">
        <f>G93-липень!G93</f>
        <v>0</v>
      </c>
      <c r="W93" s="117">
        <f>#N/A</f>
        <v>0</v>
      </c>
      <c r="X93" s="147"/>
      <c r="Y93" s="197"/>
    </row>
    <row r="94" spans="2:28" ht="33">
      <c r="B94" s="22" t="s">
        <v>46</v>
      </c>
      <c r="C94" s="53"/>
      <c r="D94" s="127">
        <f>D89+D90+D91+D92</f>
        <v>43473</v>
      </c>
      <c r="E94" s="127">
        <f>E89+E90+E91+E92</f>
        <v>46806.039000000004</v>
      </c>
      <c r="F94" s="127">
        <f>F89+F90+F91+F92</f>
        <v>25531.03</v>
      </c>
      <c r="G94" s="128">
        <f>G89+G90+G91+G92+G93</f>
        <v>8204.78</v>
      </c>
      <c r="H94" s="129">
        <f>#N/A</f>
        <v>-17565.03</v>
      </c>
      <c r="I94" s="216">
        <f>G94/F94</f>
        <v>0.32136502130936356</v>
      </c>
      <c r="J94" s="131">
        <f>#N/A</f>
        <v>-38840.039000000004</v>
      </c>
      <c r="K94" s="151">
        <f>G94/E94</f>
        <v>0.17529319240194624</v>
      </c>
      <c r="L94" s="131"/>
      <c r="M94" s="131"/>
      <c r="N94" s="131"/>
      <c r="O94" s="131">
        <v>26407.66</v>
      </c>
      <c r="P94" s="131">
        <f>#N/A</f>
        <v>20398.379000000004</v>
      </c>
      <c r="Q94" s="151">
        <f>#N/A</f>
        <v>1.772441746069133</v>
      </c>
      <c r="R94" s="131">
        <v>14016.88</v>
      </c>
      <c r="S94" s="117">
        <f>#N/A</f>
        <v>-6050.879999999999</v>
      </c>
      <c r="T94" s="147">
        <f>#N/A</f>
        <v>0.5683147747572926</v>
      </c>
      <c r="U94" s="129">
        <f>F94-липень!F94</f>
        <v>3502</v>
      </c>
      <c r="V94" s="174">
        <f>G94-липень!G94</f>
        <v>238.78000000000065</v>
      </c>
      <c r="W94" s="131">
        <f>#N/A</f>
        <v>-3502</v>
      </c>
      <c r="X94" s="151">
        <f>V94/U94</f>
        <v>0.06818389491719036</v>
      </c>
      <c r="Y94" s="197">
        <f>#N/A</f>
        <v>-1.2041269713118403</v>
      </c>
      <c r="AB94" s="4" t="s">
        <v>202</v>
      </c>
    </row>
    <row r="95" spans="2:25" ht="46.5">
      <c r="B95" s="12" t="s">
        <v>35</v>
      </c>
      <c r="C95" s="60">
        <v>24062100</v>
      </c>
      <c r="D95" s="257">
        <v>43</v>
      </c>
      <c r="E95" s="125">
        <v>43</v>
      </c>
      <c r="F95" s="125">
        <v>27</v>
      </c>
      <c r="G95" s="126">
        <v>2.5</v>
      </c>
      <c r="H95" s="112">
        <f>#N/A</f>
        <v>-24.68</v>
      </c>
      <c r="I95" s="213"/>
      <c r="J95" s="117">
        <f>#N/A</f>
        <v>-40.68</v>
      </c>
      <c r="K95" s="147"/>
      <c r="L95" s="117"/>
      <c r="M95" s="117"/>
      <c r="N95" s="117"/>
      <c r="O95" s="117">
        <v>49.17</v>
      </c>
      <c r="P95" s="117">
        <f>#N/A</f>
        <v>-6.170000000000002</v>
      </c>
      <c r="Q95" s="147">
        <f>#N/A</f>
        <v>0.8745169818995322</v>
      </c>
      <c r="R95" s="117">
        <v>38.14</v>
      </c>
      <c r="S95" s="117">
        <f>#N/A</f>
        <v>-35.82</v>
      </c>
      <c r="T95" s="147">
        <f>#N/A</f>
        <v>0.06082852648138437</v>
      </c>
      <c r="U95" s="112">
        <f>F95-липень!F95</f>
        <v>4</v>
      </c>
      <c r="V95" s="118">
        <f>G95-липень!G95</f>
        <v>0.18000000000000016</v>
      </c>
      <c r="W95" s="117">
        <f>#N/A</f>
        <v>-4</v>
      </c>
      <c r="X95" s="147"/>
      <c r="Y95" s="197">
        <f>#N/A</f>
        <v>-0.8136884554181478</v>
      </c>
    </row>
    <row r="96" spans="2:25" ht="18" hidden="1">
      <c r="B96" s="166" t="s">
        <v>47</v>
      </c>
      <c r="C96" s="58">
        <v>24061600</v>
      </c>
      <c r="D96" s="256"/>
      <c r="E96" s="125">
        <v>0</v>
      </c>
      <c r="F96" s="125">
        <f>E96</f>
        <v>0</v>
      </c>
      <c r="G96" s="126">
        <v>0</v>
      </c>
      <c r="H96" s="112">
        <f>#N/A</f>
        <v>0</v>
      </c>
      <c r="I96" s="213"/>
      <c r="J96" s="117">
        <f>#N/A</f>
        <v>0</v>
      </c>
      <c r="K96" s="224"/>
      <c r="L96" s="134"/>
      <c r="M96" s="134"/>
      <c r="N96" s="134"/>
      <c r="O96" s="134"/>
      <c r="P96" s="117">
        <f>#N/A</f>
        <v>0</v>
      </c>
      <c r="Q96" s="147" t="e">
        <f>#N/A</f>
        <v>#DIV/0!</v>
      </c>
      <c r="R96" s="117">
        <f>O96</f>
        <v>0</v>
      </c>
      <c r="S96" s="117">
        <f>#N/A</f>
        <v>0</v>
      </c>
      <c r="T96" s="147" t="e">
        <f>#N/A</f>
        <v>#DIV/0!</v>
      </c>
      <c r="U96" s="112">
        <f>F96-липень!F96</f>
        <v>0</v>
      </c>
      <c r="V96" s="118">
        <f>G96-червень!G95</f>
        <v>0</v>
      </c>
      <c r="W96" s="117">
        <f>#N/A</f>
        <v>0</v>
      </c>
      <c r="X96" s="224"/>
      <c r="Y96" s="197" t="e">
        <f>#N/A</f>
        <v>#DIV/0!</v>
      </c>
    </row>
    <row r="97" spans="2:25" ht="18">
      <c r="B97" s="20" t="s">
        <v>41</v>
      </c>
      <c r="C97" s="58">
        <v>19010000</v>
      </c>
      <c r="D97" s="256">
        <v>9050</v>
      </c>
      <c r="E97" s="125">
        <v>9050</v>
      </c>
      <c r="F97" s="125">
        <v>7460.15</v>
      </c>
      <c r="G97" s="468">
        <v>7499.8</v>
      </c>
      <c r="H97" s="112">
        <f>#N/A</f>
        <v>-2076.0499999999993</v>
      </c>
      <c r="I97" s="213">
        <f>G97/F97</f>
        <v>1.005314906536732</v>
      </c>
      <c r="J97" s="117">
        <f>#N/A</f>
        <v>-3665.8999999999996</v>
      </c>
      <c r="K97" s="147">
        <f>G97/E97</f>
        <v>0.828707182320442</v>
      </c>
      <c r="L97" s="117"/>
      <c r="M97" s="117"/>
      <c r="N97" s="117"/>
      <c r="O97" s="117">
        <v>8033.94</v>
      </c>
      <c r="P97" s="117">
        <f>#N/A</f>
        <v>1016.0600000000004</v>
      </c>
      <c r="Q97" s="147">
        <f>#N/A</f>
        <v>1.1264709470073215</v>
      </c>
      <c r="R97" s="117">
        <v>6573.76</v>
      </c>
      <c r="S97" s="117">
        <f>#N/A</f>
        <v>-1189.6599999999999</v>
      </c>
      <c r="T97" s="147">
        <f>#N/A</f>
        <v>0.8190289879764396</v>
      </c>
      <c r="U97" s="112">
        <f>F97-липень!F97</f>
        <v>1547</v>
      </c>
      <c r="V97" s="118">
        <f>G97-липень!G97</f>
        <v>2147.66</v>
      </c>
      <c r="W97" s="117">
        <f>#N/A</f>
        <v>-1515.04</v>
      </c>
      <c r="X97" s="147">
        <f>V97/U97</f>
        <v>1.388274078862314</v>
      </c>
      <c r="Y97" s="197">
        <f>#N/A</f>
        <v>-0.3074419590308819</v>
      </c>
    </row>
    <row r="98" spans="2:25" ht="31.5">
      <c r="B98" s="20" t="s">
        <v>45</v>
      </c>
      <c r="C98" s="58">
        <v>19050000</v>
      </c>
      <c r="D98" s="242"/>
      <c r="E98" s="125">
        <v>0</v>
      </c>
      <c r="F98" s="125">
        <v>0</v>
      </c>
      <c r="G98" s="126">
        <v>0</v>
      </c>
      <c r="H98" s="112">
        <f>#N/A</f>
        <v>0</v>
      </c>
      <c r="I98" s="213"/>
      <c r="J98" s="117">
        <f>#N/A</f>
        <v>0</v>
      </c>
      <c r="K98" s="147"/>
      <c r="L98" s="117"/>
      <c r="M98" s="117"/>
      <c r="N98" s="117"/>
      <c r="O98" s="117">
        <v>0.1</v>
      </c>
      <c r="P98" s="117">
        <f>#N/A</f>
        <v>-0.1</v>
      </c>
      <c r="Q98" s="147">
        <f>#N/A</f>
        <v>0</v>
      </c>
      <c r="R98" s="117">
        <v>0.08</v>
      </c>
      <c r="S98" s="117">
        <f>#N/A</f>
        <v>-0.08</v>
      </c>
      <c r="T98" s="147">
        <f>#N/A</f>
        <v>0</v>
      </c>
      <c r="U98" s="112">
        <f>F98-липень!F98</f>
        <v>0</v>
      </c>
      <c r="V98" s="118">
        <f>G98-березень!G96</f>
        <v>0</v>
      </c>
      <c r="W98" s="117">
        <f>#N/A</f>
        <v>0</v>
      </c>
      <c r="X98" s="224"/>
      <c r="Y98" s="197">
        <f>#N/A</f>
        <v>0</v>
      </c>
    </row>
    <row r="99" spans="2:25" ht="30.75">
      <c r="B99" s="22" t="s">
        <v>42</v>
      </c>
      <c r="C99" s="58"/>
      <c r="D99" s="127">
        <f>D95+D98+D96+D97</f>
        <v>9093</v>
      </c>
      <c r="E99" s="127">
        <f>E95+E98+E96+E97</f>
        <v>9093</v>
      </c>
      <c r="F99" s="127">
        <f>F95+F98+F96+F97</f>
        <v>7487.15</v>
      </c>
      <c r="G99" s="128">
        <f>G95+G98+G96+G97</f>
        <v>7502.3</v>
      </c>
      <c r="H99" s="129">
        <f>#N/A</f>
        <v>-2100.7299999999996</v>
      </c>
      <c r="I99" s="216">
        <f>G99/F99</f>
        <v>1.0020234668732428</v>
      </c>
      <c r="J99" s="131">
        <f>#N/A</f>
        <v>-3706.58</v>
      </c>
      <c r="K99" s="151">
        <f>G99/E99</f>
        <v>0.8250632354558451</v>
      </c>
      <c r="L99" s="131"/>
      <c r="M99" s="131"/>
      <c r="N99" s="131"/>
      <c r="O99" s="131">
        <v>8083.21</v>
      </c>
      <c r="P99" s="131">
        <f>#N/A</f>
        <v>1009.79</v>
      </c>
      <c r="Q99" s="151">
        <f>#N/A</f>
        <v>1.1249243802895137</v>
      </c>
      <c r="R99" s="131">
        <v>6611.98</v>
      </c>
      <c r="S99" s="117">
        <f>#N/A</f>
        <v>-1225.5599999999995</v>
      </c>
      <c r="T99" s="147">
        <f>#N/A</f>
        <v>0.8146455373428232</v>
      </c>
      <c r="U99" s="129">
        <f>F99-липень!F99</f>
        <v>1551</v>
      </c>
      <c r="V99" s="174">
        <f>G99-липень!G99</f>
        <v>2147.84</v>
      </c>
      <c r="W99" s="131">
        <f>#N/A</f>
        <v>-1519.04</v>
      </c>
      <c r="X99" s="151">
        <f>V99/U99</f>
        <v>1.384809800128949</v>
      </c>
      <c r="Y99" s="197">
        <f>#N/A</f>
        <v>-0.3102788429466905</v>
      </c>
    </row>
    <row r="100" spans="2:25" ht="30.75">
      <c r="B100" s="12" t="s">
        <v>36</v>
      </c>
      <c r="C100" s="34">
        <v>24110900</v>
      </c>
      <c r="D100" s="229">
        <v>19.413</v>
      </c>
      <c r="E100" s="125">
        <v>47.413</v>
      </c>
      <c r="F100" s="125">
        <v>28.05</v>
      </c>
      <c r="G100" s="126">
        <v>34.2</v>
      </c>
      <c r="H100" s="112">
        <f>#N/A</f>
        <v>3.460000000000001</v>
      </c>
      <c r="I100" s="213">
        <f>G100/F100</f>
        <v>1.2192513368983957</v>
      </c>
      <c r="J100" s="117">
        <f>#N/A</f>
        <v>-15.902999999999995</v>
      </c>
      <c r="K100" s="147">
        <f>G100/E100</f>
        <v>0.7213211566448021</v>
      </c>
      <c r="L100" s="117"/>
      <c r="M100" s="117"/>
      <c r="N100" s="117"/>
      <c r="O100" s="117">
        <v>37.96</v>
      </c>
      <c r="P100" s="117">
        <f>#N/A</f>
        <v>9.452999999999996</v>
      </c>
      <c r="Q100" s="147">
        <f>#N/A</f>
        <v>1.2490252897787144</v>
      </c>
      <c r="R100" s="131">
        <v>17.65</v>
      </c>
      <c r="S100" s="117">
        <f>#N/A</f>
        <v>13.860000000000003</v>
      </c>
      <c r="T100" s="147">
        <f>#N/A</f>
        <v>1.7852691218130314</v>
      </c>
      <c r="U100" s="112">
        <f>F100-липень!F100</f>
        <v>1.7699999999999996</v>
      </c>
      <c r="V100" s="118">
        <f>G100-липень!G100</f>
        <v>2.6900000000000013</v>
      </c>
      <c r="W100" s="117">
        <f>#N/A</f>
        <v>-1.7699999999999996</v>
      </c>
      <c r="X100" s="147">
        <f>V100/U100</f>
        <v>1.519774011299436</v>
      </c>
      <c r="Y100" s="197">
        <f>#N/A</f>
        <v>0.536243832034317</v>
      </c>
    </row>
    <row r="101" spans="2:25" ht="18" hidden="1">
      <c r="B101" s="83"/>
      <c r="C101" s="34">
        <v>21110000</v>
      </c>
      <c r="D101" s="229"/>
      <c r="E101" s="125">
        <v>0</v>
      </c>
      <c r="F101" s="125">
        <v>0</v>
      </c>
      <c r="G101" s="126"/>
      <c r="H101" s="112" t="e">
        <f>#N/A</f>
        <v>#N/A</v>
      </c>
      <c r="I101" s="213"/>
      <c r="J101" s="117" t="e">
        <f>#N/A</f>
        <v>#N/A</v>
      </c>
      <c r="K101" s="147"/>
      <c r="L101" s="117"/>
      <c r="M101" s="117"/>
      <c r="N101" s="117"/>
      <c r="O101" s="117"/>
      <c r="P101" s="117"/>
      <c r="Q101" s="147"/>
      <c r="R101" s="117">
        <v>18.76</v>
      </c>
      <c r="S101" s="131" t="e">
        <f>#N/A</f>
        <v>#N/A</v>
      </c>
      <c r="T101" s="147">
        <f>#N/A</f>
        <v>0</v>
      </c>
      <c r="U101" s="114" t="e">
        <f>F101-#REF!</f>
        <v>#REF!</v>
      </c>
      <c r="V101" s="118" t="e">
        <f>G101-#REF!</f>
        <v>#REF!</v>
      </c>
      <c r="W101" s="117" t="e">
        <f>#N/A</f>
        <v>#N/A</v>
      </c>
      <c r="X101" s="147"/>
      <c r="Y101" s="197">
        <f>#N/A</f>
        <v>0</v>
      </c>
    </row>
    <row r="102" spans="2:25" ht="23.25" customHeight="1">
      <c r="B102" s="181" t="s">
        <v>30</v>
      </c>
      <c r="C102" s="182"/>
      <c r="D102" s="183">
        <f>D87+D88+D94+D99+D100</f>
        <v>52585.413</v>
      </c>
      <c r="E102" s="183">
        <f>E87+E88+E94+E99+E100</f>
        <v>55946.452000000005</v>
      </c>
      <c r="F102" s="183">
        <f>F87+F88+F94+F99+F100</f>
        <v>33046.23</v>
      </c>
      <c r="G102" s="183">
        <f>G87+G88+G94+G99+G100</f>
        <v>15750.720000000001</v>
      </c>
      <c r="H102" s="184">
        <f>G102-F102</f>
        <v>-17295.510000000002</v>
      </c>
      <c r="I102" s="217">
        <f>G102/F102</f>
        <v>0.4766268345889985</v>
      </c>
      <c r="J102" s="177">
        <f>G102-E102</f>
        <v>-40195.732</v>
      </c>
      <c r="K102" s="178">
        <f>G102/E102</f>
        <v>0.28153206212254533</v>
      </c>
      <c r="L102" s="177"/>
      <c r="M102" s="177"/>
      <c r="N102" s="177"/>
      <c r="O102" s="177">
        <v>34561.77</v>
      </c>
      <c r="P102" s="177">
        <f>E102-O102</f>
        <v>21384.682000000008</v>
      </c>
      <c r="Q102" s="178">
        <f>E102/O102</f>
        <v>1.6187380449554525</v>
      </c>
      <c r="R102" s="183">
        <v>20679.44</v>
      </c>
      <c r="S102" s="177">
        <f>G102-R102</f>
        <v>-4928.7199999999975</v>
      </c>
      <c r="T102" s="178">
        <f>#N/A</f>
        <v>0.6476659909552678</v>
      </c>
      <c r="U102" s="183">
        <f>U87+U88+U94+U99+U100</f>
        <v>5054.77</v>
      </c>
      <c r="V102" s="183">
        <f>V87+V88+V94+V99+V100</f>
        <v>2389.310000000001</v>
      </c>
      <c r="W102" s="177">
        <f>V102-U102</f>
        <v>-2665.4599999999996</v>
      </c>
      <c r="X102" s="178">
        <f>V102/U102</f>
        <v>0.47268421708603964</v>
      </c>
      <c r="Y102" s="197">
        <f>T102-Q102</f>
        <v>-0.9710720540001847</v>
      </c>
    </row>
    <row r="103" spans="2:25" ht="17.25">
      <c r="B103" s="185" t="s">
        <v>103</v>
      </c>
      <c r="C103" s="182"/>
      <c r="D103" s="251">
        <f>D80+D102</f>
        <v>1680503.113</v>
      </c>
      <c r="E103" s="183">
        <f>E80+E102</f>
        <v>1709481.2519999999</v>
      </c>
      <c r="F103" s="183">
        <f>F80+F102</f>
        <v>1086893.89</v>
      </c>
      <c r="G103" s="183">
        <f>G80+G102</f>
        <v>1071588.2699999998</v>
      </c>
      <c r="H103" s="184">
        <f>G103-F103</f>
        <v>-15305.620000000112</v>
      </c>
      <c r="I103" s="217">
        <f>G103/F103</f>
        <v>0.985918018179309</v>
      </c>
      <c r="J103" s="177">
        <f>G103-E103</f>
        <v>-637892.9820000001</v>
      </c>
      <c r="K103" s="178">
        <f>G103/E103</f>
        <v>0.6268499691039606</v>
      </c>
      <c r="L103" s="177"/>
      <c r="M103" s="177"/>
      <c r="N103" s="177"/>
      <c r="O103" s="177">
        <f>O80+O102</f>
        <v>1433558.23</v>
      </c>
      <c r="P103" s="177">
        <f>E103-O103</f>
        <v>275923.0219999999</v>
      </c>
      <c r="Q103" s="178">
        <f>E103/O103</f>
        <v>1.1924742338509682</v>
      </c>
      <c r="R103" s="177">
        <f>R80+R102</f>
        <v>906193.6</v>
      </c>
      <c r="S103" s="177">
        <f>S80+S102</f>
        <v>165394.66999999978</v>
      </c>
      <c r="T103" s="178">
        <f>#N/A</f>
        <v>1.0552526524133476</v>
      </c>
      <c r="U103" s="184">
        <f>U80+U102</f>
        <v>150690.33999999985</v>
      </c>
      <c r="V103" s="184">
        <f>V80+V102</f>
        <v>118976.00999999997</v>
      </c>
      <c r="W103" s="177">
        <f>V103-U103</f>
        <v>-31714.329999999885</v>
      </c>
      <c r="X103" s="178">
        <f>V103/U103</f>
        <v>0.7895397276295222</v>
      </c>
      <c r="Y103" s="197">
        <f>T103-Q103</f>
        <v>-0.13722158143762053</v>
      </c>
    </row>
    <row r="104" spans="2:24" ht="15">
      <c r="B104" s="262" t="s">
        <v>159</v>
      </c>
      <c r="D104" s="4"/>
      <c r="F104" s="78"/>
      <c r="G104" s="4"/>
      <c r="U104" s="226"/>
      <c r="V104" s="226"/>
      <c r="W104" s="226"/>
      <c r="X104" s="226"/>
    </row>
    <row r="105" spans="2:24" ht="15">
      <c r="B105" s="4" t="s">
        <v>160</v>
      </c>
      <c r="C105" s="264">
        <v>4</v>
      </c>
      <c r="D105" s="4" t="s">
        <v>161</v>
      </c>
      <c r="F105" s="78"/>
      <c r="G105" s="4"/>
      <c r="U105" s="226"/>
      <c r="V105" s="226"/>
      <c r="W105" s="226"/>
      <c r="X105" s="226"/>
    </row>
    <row r="106" spans="2:22" ht="30.75">
      <c r="B106" s="266" t="s">
        <v>162</v>
      </c>
      <c r="C106" s="267"/>
      <c r="D106" s="4" t="s">
        <v>24</v>
      </c>
      <c r="F106" s="78"/>
      <c r="G106" s="267">
        <f>IF(H80&lt;0,ABS(H80/C105),0)</f>
        <v>0</v>
      </c>
      <c r="H106" s="268"/>
      <c r="I106" s="268"/>
      <c r="J106" s="268"/>
      <c r="V106" s="267">
        <f>IF(W80&lt;0,ABS(W80/C105),0)</f>
        <v>7262.217499999973</v>
      </c>
    </row>
    <row r="107" spans="2:7" ht="30.75">
      <c r="B107" s="270" t="s">
        <v>163</v>
      </c>
      <c r="C107" s="271">
        <v>43339</v>
      </c>
      <c r="D107" s="267"/>
      <c r="E107" s="267">
        <v>5444.2</v>
      </c>
      <c r="F107" s="78"/>
      <c r="G107" s="4" t="s">
        <v>164</v>
      </c>
    </row>
    <row r="108" spans="3:10" ht="15">
      <c r="C108" s="271">
        <v>43335</v>
      </c>
      <c r="D108" s="267"/>
      <c r="E108" s="267">
        <v>6167</v>
      </c>
      <c r="F108" s="78"/>
      <c r="G108" s="500"/>
      <c r="H108" s="500"/>
      <c r="I108" s="273"/>
      <c r="J108" s="274"/>
    </row>
    <row r="109" spans="3:10" ht="15">
      <c r="C109" s="271">
        <v>43334</v>
      </c>
      <c r="D109" s="267"/>
      <c r="E109" s="267">
        <v>5674.9</v>
      </c>
      <c r="F109" s="78"/>
      <c r="G109" s="500"/>
      <c r="H109" s="500"/>
      <c r="I109" s="273"/>
      <c r="J109" s="276"/>
    </row>
    <row r="110" spans="3:10" ht="15">
      <c r="C110" s="271"/>
      <c r="D110" s="4"/>
      <c r="F110" s="278"/>
      <c r="G110" s="501"/>
      <c r="H110" s="501"/>
      <c r="I110" s="279"/>
      <c r="J110" s="274"/>
    </row>
    <row r="111" spans="2:10" ht="16.5">
      <c r="B111" s="502" t="s">
        <v>165</v>
      </c>
      <c r="C111" s="503"/>
      <c r="D111" s="280"/>
      <c r="E111" s="434">
        <f>'[1]залишки'!$G$6/1000</f>
        <v>1127.463</v>
      </c>
      <c r="F111" s="282" t="s">
        <v>166</v>
      </c>
      <c r="G111" s="500"/>
      <c r="H111" s="500"/>
      <c r="I111" s="283"/>
      <c r="J111" s="274"/>
    </row>
    <row r="112" spans="4:10" ht="15">
      <c r="D112" s="4"/>
      <c r="F112" s="278"/>
      <c r="G112" s="500"/>
      <c r="H112" s="500"/>
      <c r="I112" s="278"/>
      <c r="J112" s="281"/>
    </row>
    <row r="113" spans="2:10" ht="15" customHeight="1" hidden="1">
      <c r="B113" s="499"/>
      <c r="C113" s="499"/>
      <c r="D113" s="285"/>
      <c r="E113" s="286"/>
      <c r="F113" s="278"/>
      <c r="G113" s="500"/>
      <c r="H113" s="500"/>
      <c r="I113" s="278"/>
      <c r="J113" s="281"/>
    </row>
    <row r="114" spans="2:24" ht="15" hidden="1">
      <c r="B114" s="287" t="s">
        <v>168</v>
      </c>
      <c r="D114" s="278">
        <f>D60+D63+D64</f>
        <v>2095</v>
      </c>
      <c r="E114" s="278">
        <f>#N/A</f>
        <v>2095</v>
      </c>
      <c r="F114" s="278">
        <f>#N/A</f>
        <v>1379.3</v>
      </c>
      <c r="G114" s="435">
        <f>#N/A</f>
        <v>1216.63</v>
      </c>
      <c r="H114" s="278">
        <f>#N/A</f>
        <v>-162.67000000000004</v>
      </c>
      <c r="I114" s="436">
        <f>G114/F114</f>
        <v>0.8820633654752412</v>
      </c>
      <c r="J114" s="278">
        <f>#N/A</f>
        <v>-878.37</v>
      </c>
      <c r="K114" s="436">
        <f>G114/E114</f>
        <v>0.5807303102625299</v>
      </c>
      <c r="L114" s="278">
        <f>#N/A</f>
        <v>0</v>
      </c>
      <c r="M114" s="278">
        <f>#N/A</f>
        <v>0</v>
      </c>
      <c r="N114" s="278">
        <f>#N/A</f>
        <v>0</v>
      </c>
      <c r="O114" s="278">
        <f>#N/A</f>
        <v>1956.6200000000001</v>
      </c>
      <c r="P114" s="278">
        <f>#N/A</f>
        <v>138.37999999999994</v>
      </c>
      <c r="Q114" s="436">
        <f>E114/O114</f>
        <v>1.0707240036389283</v>
      </c>
      <c r="R114" s="278">
        <f>#N/A</f>
        <v>1220.7900000000002</v>
      </c>
      <c r="S114" s="278">
        <f>#N/A</f>
        <v>-4.160000000000036</v>
      </c>
      <c r="T114" s="436">
        <f>G114/R114</f>
        <v>0.9965923705141752</v>
      </c>
      <c r="U114" s="278">
        <f>#N/A</f>
        <v>179</v>
      </c>
      <c r="V114" s="288">
        <f>#N/A</f>
        <v>8.539999999999964</v>
      </c>
      <c r="W114" s="278">
        <f>#N/A</f>
        <v>-170.46000000000004</v>
      </c>
      <c r="X114" s="436">
        <f>V114/U114</f>
        <v>0.047709497206703706</v>
      </c>
    </row>
    <row r="115" spans="4:9" ht="15" hidden="1">
      <c r="D115" s="265"/>
      <c r="F115" s="78"/>
      <c r="G115" s="4"/>
      <c r="I115" s="267"/>
    </row>
    <row r="116" spans="2:10" ht="15" hidden="1">
      <c r="B116" s="4" t="s">
        <v>204</v>
      </c>
      <c r="D116" s="267">
        <f>D9+D15+D18+D19+D23+D54+D57+D59+D71+D78+D95+D97</f>
        <v>1592543.3</v>
      </c>
      <c r="E116" s="267">
        <f>E9+E15+E18+E19+E23+E54+E57+E59+E71+E78+E95+E97</f>
        <v>1615160.4</v>
      </c>
      <c r="F116" s="267">
        <f>F9+F15+F18+F19+F23+F54+F57+F59+F71+F78+F95+F97</f>
        <v>1028781.1399999999</v>
      </c>
      <c r="G116" s="289">
        <f>G9+G15+G18+G19+G23+G54+G57+G59+G71+G78+G95+G97</f>
        <v>1027411.3499999999</v>
      </c>
      <c r="H116" s="267">
        <f>H9+H15+H18+H19+H23+H54+H57+H59+H71+H78+H95+H97</f>
        <v>-48563.499999999956</v>
      </c>
      <c r="I116" s="163">
        <f>G116/F116</f>
        <v>0.9986685311902199</v>
      </c>
      <c r="J116" s="267"/>
    </row>
    <row r="117" spans="2:10" ht="15" hidden="1">
      <c r="B117" s="4" t="s">
        <v>205</v>
      </c>
      <c r="D117" s="267">
        <f>D55+D58+D60+D63+D64+D65+D72+D76+D89+D90+D91+D92+D100</f>
        <v>65675.813</v>
      </c>
      <c r="E117" s="267">
        <f>E55+E58+E60+E63+E64+E65+E72+E76+E89+E90+E91+E92+E100</f>
        <v>71036.852</v>
      </c>
      <c r="F117" s="267">
        <f>F55+F58+F60+F63+F64+F65+F72+F76+F89+F90+F91+F92+F100</f>
        <v>41757.11</v>
      </c>
      <c r="G117" s="289">
        <f>G55+G58+G60+G63+G64+G65+G72+G76+G89+G90+G91+G92+G100</f>
        <v>27310.81</v>
      </c>
      <c r="H117" s="267">
        <f>H55+H58+H60+H63+H64+H65+H72+H76+H89+H90+H91+H92+H100</f>
        <v>-16965.350000000002</v>
      </c>
      <c r="I117" s="163">
        <f>G117/F117</f>
        <v>0.6540397551458902</v>
      </c>
      <c r="J117" s="267"/>
    </row>
    <row r="118" spans="2:10" ht="15" hidden="1">
      <c r="B118" s="4" t="s">
        <v>206</v>
      </c>
      <c r="D118" s="267">
        <f>D56+D62+D66+D79</f>
        <v>22284</v>
      </c>
      <c r="E118" s="267">
        <f>E56+E62+E66+E79</f>
        <v>23284</v>
      </c>
      <c r="F118" s="267">
        <f>F56+F62+F66+F79</f>
        <v>16355.64</v>
      </c>
      <c r="G118" s="289">
        <f>G56+G62+G66+G79</f>
        <v>16836</v>
      </c>
      <c r="H118" s="267">
        <f>H56+H62+H66+H79</f>
        <v>-1997.6400000000008</v>
      </c>
      <c r="I118" s="163">
        <f>G118/F118</f>
        <v>1.0293696853195595</v>
      </c>
      <c r="J118" s="267"/>
    </row>
    <row r="119" spans="2:10" ht="15" hidden="1">
      <c r="B119" s="365" t="s">
        <v>207</v>
      </c>
      <c r="C119" s="438"/>
      <c r="D119" s="439">
        <f>D116+D117+D118</f>
        <v>1680503.1130000001</v>
      </c>
      <c r="E119" s="439">
        <f>E116+E117+E118</f>
        <v>1709481.2519999999</v>
      </c>
      <c r="F119" s="439">
        <f>F116+F117+F118</f>
        <v>1086893.89</v>
      </c>
      <c r="G119" s="440">
        <f>G116+G117+G118</f>
        <v>1071558.16</v>
      </c>
      <c r="H119" s="439">
        <f>H116+H117+H118</f>
        <v>-67526.48999999996</v>
      </c>
      <c r="I119" s="441">
        <f>G119/F119</f>
        <v>0.9858903153830407</v>
      </c>
      <c r="J119" s="267"/>
    </row>
    <row r="120" spans="4:10" ht="15" hidden="1">
      <c r="D120" s="267">
        <f>D119-D103</f>
        <v>0</v>
      </c>
      <c r="E120" s="267">
        <f>E119-E103</f>
        <v>0</v>
      </c>
      <c r="F120" s="267">
        <f>F119-F103</f>
        <v>0</v>
      </c>
      <c r="G120" s="289">
        <f>G119-G103</f>
        <v>-30.109999999869615</v>
      </c>
      <c r="H120" s="267">
        <f>H119-H103</f>
        <v>-52220.86999999985</v>
      </c>
      <c r="I120" s="163"/>
      <c r="J120" s="267"/>
    </row>
    <row r="121" spans="4:7" ht="15" hidden="1">
      <c r="D121" s="4"/>
      <c r="E121" s="4" t="s">
        <v>164</v>
      </c>
      <c r="F121" s="78"/>
      <c r="G121" s="4"/>
    </row>
    <row r="122" spans="2:7" ht="15" hidden="1">
      <c r="B122" s="272"/>
      <c r="D122" s="4"/>
      <c r="E122" s="267"/>
      <c r="F122" s="78"/>
      <c r="G122" s="4"/>
    </row>
    <row r="123" spans="2:8" ht="15" hidden="1">
      <c r="B123" s="272"/>
      <c r="D123" s="4"/>
      <c r="E123" s="267"/>
      <c r="F123" s="78"/>
      <c r="G123" s="4"/>
      <c r="H123" s="267"/>
    </row>
    <row r="124" spans="4:11" ht="15" hidden="1">
      <c r="D124" s="3"/>
      <c r="F124" s="78"/>
      <c r="G124" s="4"/>
      <c r="H124" s="267"/>
      <c r="I124" s="3"/>
      <c r="K124" s="3"/>
    </row>
    <row r="125" spans="2:12" ht="18" hidden="1">
      <c r="B125" s="83" t="s">
        <v>174</v>
      </c>
      <c r="C125" s="34">
        <v>25000000</v>
      </c>
      <c r="D125" s="125">
        <v>90449.655</v>
      </c>
      <c r="E125" s="458">
        <v>18102.06</v>
      </c>
      <c r="F125" s="458">
        <v>20254.32</v>
      </c>
      <c r="G125" s="459">
        <v>2152.2599999999984</v>
      </c>
      <c r="H125" s="114">
        <f>G125-F125</f>
        <v>-18102.06</v>
      </c>
      <c r="I125" s="147">
        <f>#N/A</f>
        <v>0.10626177526572102</v>
      </c>
      <c r="J125" s="117">
        <f>G125-E125</f>
        <v>-15949.800000000003</v>
      </c>
      <c r="K125" s="147">
        <f>G125/E125</f>
        <v>0.1188958604711286</v>
      </c>
      <c r="L125" s="3"/>
    </row>
    <row r="126" spans="2:12" ht="17.25" hidden="1">
      <c r="B126" s="13" t="s">
        <v>30</v>
      </c>
      <c r="C126" s="294"/>
      <c r="D126" s="295">
        <f>D125+D102</f>
        <v>143035.068</v>
      </c>
      <c r="E126" s="295">
        <f>#N/A</f>
        <v>74048.512</v>
      </c>
      <c r="F126" s="295">
        <f>#N/A</f>
        <v>53300.55</v>
      </c>
      <c r="G126" s="295">
        <f>#N/A</f>
        <v>15545.63</v>
      </c>
      <c r="H126" s="295">
        <f>#N/A</f>
        <v>-37754.92</v>
      </c>
      <c r="I126" s="447">
        <f>#N/A</f>
        <v>0.29165984215922724</v>
      </c>
      <c r="J126" s="295">
        <f>#N/A</f>
        <v>-58502.882000000005</v>
      </c>
      <c r="K126" s="447">
        <f>G126/F126</f>
        <v>0.29165984215922724</v>
      </c>
      <c r="L126" s="3"/>
    </row>
    <row r="127" spans="2:12" ht="17.25" hidden="1">
      <c r="B127" s="302" t="s">
        <v>175</v>
      </c>
      <c r="C127" s="294"/>
      <c r="D127" s="295">
        <f>D103+D125</f>
        <v>1770952.768</v>
      </c>
      <c r="E127" s="295">
        <f>#N/A</f>
        <v>1727583.312</v>
      </c>
      <c r="F127" s="295">
        <f>#N/A</f>
        <v>1107148.21</v>
      </c>
      <c r="G127" s="295">
        <f>#N/A</f>
        <v>958415.4600000002</v>
      </c>
      <c r="H127" s="295">
        <f>#N/A</f>
        <v>-148732.7499999997</v>
      </c>
      <c r="I127" s="447">
        <f>#N/A</f>
        <v>0.865661391440989</v>
      </c>
      <c r="J127" s="295">
        <f>#N/A</f>
        <v>-769167.8519999997</v>
      </c>
      <c r="K127" s="447">
        <f>G127/F127</f>
        <v>0.865661391440989</v>
      </c>
      <c r="L127" s="3"/>
    </row>
    <row r="128" spans="2:12" ht="15" hidden="1">
      <c r="B128" s="304" t="s">
        <v>176</v>
      </c>
      <c r="C128" s="305">
        <v>40000000</v>
      </c>
      <c r="D128" s="306">
        <v>1499675.196</v>
      </c>
      <c r="E128" s="306">
        <v>1499675.2</v>
      </c>
      <c r="F128" s="460">
        <v>322086.73</v>
      </c>
      <c r="G128" s="460"/>
      <c r="H128" s="306">
        <f>G128-F128</f>
        <v>-322086.73</v>
      </c>
      <c r="I128" s="448">
        <f>#N/A</f>
        <v>0</v>
      </c>
      <c r="J128" s="29">
        <f>G128-E128</f>
        <v>-1499675.2</v>
      </c>
      <c r="K128" s="448">
        <f>G128/E128</f>
        <v>0</v>
      </c>
      <c r="L128" s="3"/>
    </row>
    <row r="129" spans="2:12" ht="26.25" hidden="1">
      <c r="B129" s="450" t="s">
        <v>211</v>
      </c>
      <c r="C129" s="451">
        <v>41033900</v>
      </c>
      <c r="D129" s="452">
        <v>249086.1</v>
      </c>
      <c r="E129" s="453">
        <v>249086.1</v>
      </c>
      <c r="F129" s="453">
        <v>38359.2</v>
      </c>
      <c r="G129" s="452">
        <v>38359.2</v>
      </c>
      <c r="H129" s="452">
        <f>G129-F129</f>
        <v>0</v>
      </c>
      <c r="I129" s="145">
        <f>#N/A</f>
        <v>1</v>
      </c>
      <c r="J129" s="74">
        <f>G129-E129</f>
        <v>-210726.90000000002</v>
      </c>
      <c r="K129" s="145">
        <f>G129/E129</f>
        <v>0.15399976152824263</v>
      </c>
      <c r="L129" s="3"/>
    </row>
    <row r="130" spans="2:12" ht="26.25" hidden="1">
      <c r="B130" s="450" t="s">
        <v>212</v>
      </c>
      <c r="C130" s="451">
        <v>41034200</v>
      </c>
      <c r="D130" s="452">
        <v>226186</v>
      </c>
      <c r="E130" s="452">
        <v>226186</v>
      </c>
      <c r="F130" s="452">
        <v>44005.9</v>
      </c>
      <c r="G130" s="452">
        <v>44005.9</v>
      </c>
      <c r="H130" s="452">
        <f>G130-F130</f>
        <v>0</v>
      </c>
      <c r="I130" s="145">
        <f>#N/A</f>
        <v>1</v>
      </c>
      <c r="J130" s="74">
        <f>G130-E130</f>
        <v>-182180.1</v>
      </c>
      <c r="K130" s="145">
        <f>G130/E130</f>
        <v>0.19455625016579275</v>
      </c>
      <c r="L130" s="3"/>
    </row>
    <row r="131" spans="2:12" ht="15" hidden="1">
      <c r="B131" s="304" t="s">
        <v>208</v>
      </c>
      <c r="C131" s="305"/>
      <c r="D131" s="306">
        <v>0</v>
      </c>
      <c r="E131" s="306">
        <v>0</v>
      </c>
      <c r="F131" s="306">
        <v>0</v>
      </c>
      <c r="G131" s="306">
        <v>0</v>
      </c>
      <c r="H131" s="306">
        <f>G131-F131</f>
        <v>0</v>
      </c>
      <c r="I131" s="448" t="e">
        <f>#N/A</f>
        <v>#DIV/0!</v>
      </c>
      <c r="J131" s="29">
        <f>G131-E131</f>
        <v>0</v>
      </c>
      <c r="K131" s="448" t="e">
        <f>G131/E131</f>
        <v>#DIV/0!</v>
      </c>
      <c r="L131" s="3"/>
    </row>
    <row r="132" spans="2:12" ht="18" hidden="1">
      <c r="B132" s="312" t="s">
        <v>179</v>
      </c>
      <c r="C132" s="313"/>
      <c r="D132" s="314">
        <f>D127+D128+D131</f>
        <v>3270627.9639999997</v>
      </c>
      <c r="E132" s="314">
        <f>#N/A</f>
        <v>3227258.512</v>
      </c>
      <c r="F132" s="314">
        <f>#N/A</f>
        <v>1429234.94</v>
      </c>
      <c r="G132" s="314">
        <f>#N/A</f>
        <v>958415.4600000002</v>
      </c>
      <c r="H132" s="314">
        <f>#N/A</f>
        <v>-470819.4799999997</v>
      </c>
      <c r="I132" s="449">
        <f>#N/A</f>
        <v>0.6705793660488039</v>
      </c>
      <c r="J132" s="314">
        <f>#N/A</f>
        <v>-2268843.0519999997</v>
      </c>
      <c r="K132" s="449">
        <f>G132/E132</f>
        <v>0.2969751126029411</v>
      </c>
      <c r="L132" s="3"/>
    </row>
    <row r="133" spans="4:7" ht="15" hidden="1">
      <c r="D133" s="4"/>
      <c r="F133" s="78"/>
      <c r="G133" s="4"/>
    </row>
    <row r="134" spans="4:7" ht="15" hidden="1">
      <c r="D134" s="4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4:7" ht="15" hidden="1">
      <c r="D137" s="267"/>
      <c r="F137" s="78"/>
      <c r="G137" s="4"/>
    </row>
    <row r="138" spans="4:7" ht="15" hidden="1">
      <c r="D138" s="267"/>
      <c r="F138" s="78"/>
      <c r="G138" s="4"/>
    </row>
    <row r="139" spans="2:7" ht="15" hidden="1">
      <c r="B139" s="320" t="s">
        <v>180</v>
      </c>
      <c r="D139" s="4"/>
      <c r="F139" s="78"/>
      <c r="G139" s="4"/>
    </row>
    <row r="140" spans="2:26" ht="30.75" hidden="1">
      <c r="B140" s="321" t="s">
        <v>181</v>
      </c>
      <c r="C140" s="322">
        <v>13010200</v>
      </c>
      <c r="D140" s="323">
        <f>#N/A</f>
        <v>0</v>
      </c>
      <c r="E140" s="323">
        <f>#N/A</f>
        <v>0</v>
      </c>
      <c r="F140" s="323">
        <f>#N/A</f>
        <v>0</v>
      </c>
      <c r="G140" s="323">
        <f>#N/A</f>
        <v>0</v>
      </c>
      <c r="H140" s="323">
        <f>#N/A</f>
        <v>0</v>
      </c>
      <c r="I140" s="357">
        <f>#N/A</f>
        <v>0</v>
      </c>
      <c r="J140" s="323">
        <f>#N/A</f>
        <v>0</v>
      </c>
      <c r="K140" s="357">
        <f>#N/A</f>
        <v>0</v>
      </c>
      <c r="L140" s="323">
        <f>#N/A</f>
        <v>0</v>
      </c>
      <c r="M140" s="323">
        <f>#N/A</f>
        <v>0</v>
      </c>
      <c r="N140" s="323">
        <f>#N/A</f>
        <v>0</v>
      </c>
      <c r="O140" s="323">
        <f>#N/A</f>
        <v>0.49</v>
      </c>
      <c r="P140" s="323">
        <f>#N/A</f>
        <v>-0.49</v>
      </c>
      <c r="Q140" s="357">
        <f>#N/A</f>
        <v>0</v>
      </c>
      <c r="R140" s="323">
        <f>#N/A</f>
        <v>0.45</v>
      </c>
      <c r="S140" s="323">
        <f>#N/A</f>
        <v>-0.45</v>
      </c>
      <c r="T140" s="357">
        <f>#N/A</f>
        <v>0</v>
      </c>
      <c r="U140" s="323">
        <f>#N/A</f>
        <v>0</v>
      </c>
      <c r="V140" s="323">
        <f>#N/A</f>
        <v>0</v>
      </c>
      <c r="W140" s="323">
        <f>#N/A</f>
        <v>0</v>
      </c>
      <c r="X140" s="357" t="e">
        <f>#N/A</f>
        <v>#DIV/0!</v>
      </c>
      <c r="Y140" s="446">
        <f>T140-Q140</f>
        <v>0</v>
      </c>
      <c r="Z140" s="163"/>
    </row>
    <row r="141" spans="2:26" ht="30.75" hidden="1">
      <c r="B141" s="329" t="s">
        <v>182</v>
      </c>
      <c r="C141" s="322">
        <v>13030200</v>
      </c>
      <c r="D141" s="323">
        <f>#N/A</f>
        <v>235.6</v>
      </c>
      <c r="E141" s="323">
        <f>#N/A</f>
        <v>235.6</v>
      </c>
      <c r="F141" s="323">
        <f>#N/A</f>
        <v>168.5</v>
      </c>
      <c r="G141" s="323">
        <f>#N/A</f>
        <v>194.24</v>
      </c>
      <c r="H141" s="323">
        <f>#N/A</f>
        <v>25.74000000000001</v>
      </c>
      <c r="I141" s="357">
        <f>#N/A</f>
        <v>1.152759643916914</v>
      </c>
      <c r="J141" s="323">
        <f>#N/A</f>
        <v>-41.359999999999985</v>
      </c>
      <c r="K141" s="357">
        <f>#N/A</f>
        <v>82.44482173174873</v>
      </c>
      <c r="L141" s="323">
        <f>#N/A</f>
        <v>0</v>
      </c>
      <c r="M141" s="323">
        <f>#N/A</f>
        <v>0</v>
      </c>
      <c r="N141" s="323">
        <f>#N/A</f>
        <v>0</v>
      </c>
      <c r="O141" s="323">
        <f>#N/A</f>
        <v>220.59</v>
      </c>
      <c r="P141" s="323">
        <f>#N/A</f>
        <v>15.009999999999991</v>
      </c>
      <c r="Q141" s="357">
        <f>#N/A</f>
        <v>1.0680447889750215</v>
      </c>
      <c r="R141" s="323">
        <f>#N/A</f>
        <v>147.46</v>
      </c>
      <c r="S141" s="323">
        <f>#N/A</f>
        <v>46.78</v>
      </c>
      <c r="T141" s="357">
        <f>#N/A</f>
        <v>1.3172385731723857</v>
      </c>
      <c r="U141" s="323">
        <f>#N/A</f>
        <v>28</v>
      </c>
      <c r="V141" s="323">
        <f>#N/A</f>
        <v>0</v>
      </c>
      <c r="W141" s="323">
        <f>#N/A</f>
        <v>-28</v>
      </c>
      <c r="X141" s="357">
        <f>#N/A</f>
        <v>0</v>
      </c>
      <c r="Y141" s="446">
        <f>#N/A</f>
        <v>0.24919378419736415</v>
      </c>
      <c r="Z141" s="163"/>
    </row>
    <row r="142" spans="2:26" ht="15" hidden="1">
      <c r="B142" s="331" t="s">
        <v>51</v>
      </c>
      <c r="C142" s="332">
        <v>21080500</v>
      </c>
      <c r="D142" s="333">
        <f>#N/A</f>
        <v>158</v>
      </c>
      <c r="E142" s="333">
        <f>#N/A</f>
        <v>158</v>
      </c>
      <c r="F142" s="333">
        <f>#N/A</f>
        <v>98</v>
      </c>
      <c r="G142" s="333">
        <f>#N/A</f>
        <v>51.82</v>
      </c>
      <c r="H142" s="333">
        <f>#N/A</f>
        <v>-46.18</v>
      </c>
      <c r="I142" s="442">
        <f>#N/A</f>
        <v>0.5287755102040816</v>
      </c>
      <c r="J142" s="333">
        <f>#N/A</f>
        <v>-106.18</v>
      </c>
      <c r="K142" s="442">
        <f>#N/A</f>
        <v>0.3279746835443038</v>
      </c>
      <c r="L142" s="333">
        <f>#N/A</f>
        <v>0</v>
      </c>
      <c r="M142" s="333">
        <f>#N/A</f>
        <v>0</v>
      </c>
      <c r="N142" s="333">
        <f>#N/A</f>
        <v>0</v>
      </c>
      <c r="O142" s="333">
        <f>#N/A</f>
        <v>153.3</v>
      </c>
      <c r="P142" s="333">
        <f>#N/A</f>
        <v>4.699999999999989</v>
      </c>
      <c r="Q142" s="442">
        <f>#N/A</f>
        <v>1.030658838878017</v>
      </c>
      <c r="R142" s="333">
        <f>#N/A</f>
        <v>123.3</v>
      </c>
      <c r="S142" s="333">
        <f>#N/A</f>
        <v>-71.47999999999999</v>
      </c>
      <c r="T142" s="442">
        <f>#N/A</f>
        <v>0.42027575020275754</v>
      </c>
      <c r="U142" s="333">
        <f>#N/A</f>
        <v>14</v>
      </c>
      <c r="V142" s="333">
        <f>#N/A</f>
        <v>0</v>
      </c>
      <c r="W142" s="333">
        <f>#N/A</f>
        <v>-14</v>
      </c>
      <c r="X142" s="357">
        <f>#N/A</f>
        <v>0</v>
      </c>
      <c r="Y142" s="446">
        <f>#N/A</f>
        <v>-0.6103830886752594</v>
      </c>
      <c r="Z142" s="163"/>
    </row>
    <row r="143" spans="2:26" ht="30.75" hidden="1">
      <c r="B143" s="336" t="s">
        <v>34</v>
      </c>
      <c r="C143" s="337">
        <v>21080900</v>
      </c>
      <c r="D143" s="338">
        <f>#N/A</f>
        <v>13</v>
      </c>
      <c r="E143" s="338">
        <f>#N/A</f>
        <v>13</v>
      </c>
      <c r="F143" s="338">
        <f>#N/A</f>
        <v>9</v>
      </c>
      <c r="G143" s="338">
        <f>#N/A</f>
        <v>5.04</v>
      </c>
      <c r="H143" s="338">
        <f>#N/A</f>
        <v>-3.96</v>
      </c>
      <c r="I143" s="443">
        <f>#N/A</f>
        <v>0.56</v>
      </c>
      <c r="J143" s="338">
        <f>#N/A</f>
        <v>-7.96</v>
      </c>
      <c r="K143" s="443">
        <f>#N/A</f>
        <v>0.38769230769230767</v>
      </c>
      <c r="L143" s="338">
        <f>#N/A</f>
        <v>0</v>
      </c>
      <c r="M143" s="338">
        <f>#N/A</f>
        <v>0</v>
      </c>
      <c r="N143" s="338">
        <f>#N/A</f>
        <v>0</v>
      </c>
      <c r="O143" s="338">
        <f>#N/A</f>
        <v>12.95</v>
      </c>
      <c r="P143" s="338">
        <f>#N/A</f>
        <v>0.05000000000000071</v>
      </c>
      <c r="Q143" s="443">
        <f>#N/A</f>
        <v>1.0038610038610039</v>
      </c>
      <c r="R143" s="338">
        <f>#N/A</f>
        <v>12.95</v>
      </c>
      <c r="S143" s="338">
        <f>#N/A</f>
        <v>-7.909999999999999</v>
      </c>
      <c r="T143" s="443">
        <f>#N/A</f>
        <v>0</v>
      </c>
      <c r="U143" s="338">
        <f>#N/A</f>
        <v>1</v>
      </c>
      <c r="V143" s="338">
        <f>#N/A</f>
        <v>0</v>
      </c>
      <c r="W143" s="338">
        <f>#N/A</f>
        <v>-1</v>
      </c>
      <c r="X143" s="445">
        <f>#N/A</f>
        <v>0</v>
      </c>
      <c r="Y143" s="446">
        <f>#N/A</f>
        <v>-1.0038610038610039</v>
      </c>
      <c r="Z143" s="163"/>
    </row>
    <row r="144" spans="2:26" ht="15" hidden="1">
      <c r="B144" s="329" t="s">
        <v>16</v>
      </c>
      <c r="C144" s="322">
        <v>21081100</v>
      </c>
      <c r="D144" s="323">
        <f>#N/A</f>
        <v>744</v>
      </c>
      <c r="E144" s="323">
        <f>#N/A</f>
        <v>744</v>
      </c>
      <c r="F144" s="323">
        <f>#N/A</f>
        <v>460</v>
      </c>
      <c r="G144" s="323">
        <f>#N/A</f>
        <v>702.59</v>
      </c>
      <c r="H144" s="323">
        <f>#N/A</f>
        <v>242.59000000000003</v>
      </c>
      <c r="I144" s="357">
        <f>#N/A</f>
        <v>1.5273695652173913</v>
      </c>
      <c r="J144" s="323">
        <f>#N/A</f>
        <v>-41.40999999999997</v>
      </c>
      <c r="K144" s="357">
        <f>#N/A</f>
        <v>0.9443413978494624</v>
      </c>
      <c r="L144" s="323">
        <f>#N/A</f>
        <v>0</v>
      </c>
      <c r="M144" s="323">
        <f>#N/A</f>
        <v>0</v>
      </c>
      <c r="N144" s="323">
        <f>#N/A</f>
        <v>0</v>
      </c>
      <c r="O144" s="323">
        <f>#N/A</f>
        <v>705.31</v>
      </c>
      <c r="P144" s="323">
        <f>#N/A</f>
        <v>38.690000000000055</v>
      </c>
      <c r="Q144" s="357">
        <f>#N/A</f>
        <v>1.0548553118486907</v>
      </c>
      <c r="R144" s="323">
        <f>#N/A</f>
        <v>599.15</v>
      </c>
      <c r="S144" s="323">
        <f>#N/A</f>
        <v>103.44000000000005</v>
      </c>
      <c r="T144" s="357">
        <f>#N/A</f>
        <v>1.1726445798214138</v>
      </c>
      <c r="U144" s="323">
        <f>#N/A</f>
        <v>70</v>
      </c>
      <c r="V144" s="323">
        <f>#N/A</f>
        <v>0</v>
      </c>
      <c r="W144" s="323">
        <f>#N/A</f>
        <v>-70</v>
      </c>
      <c r="X144" s="357">
        <f>#N/A</f>
        <v>0</v>
      </c>
      <c r="Y144" s="446">
        <f>#N/A</f>
        <v>0.11778926797272304</v>
      </c>
      <c r="Z144" s="163"/>
    </row>
    <row r="145" spans="2:26" ht="46.5" hidden="1">
      <c r="B145" s="329" t="s">
        <v>67</v>
      </c>
      <c r="C145" s="322">
        <v>21081500</v>
      </c>
      <c r="D145" s="323">
        <f>#N/A</f>
        <v>115.5</v>
      </c>
      <c r="E145" s="323">
        <f>#N/A</f>
        <v>115.5</v>
      </c>
      <c r="F145" s="323">
        <f>#N/A</f>
        <v>70</v>
      </c>
      <c r="G145" s="323">
        <f>#N/A</f>
        <v>117.04</v>
      </c>
      <c r="H145" s="323">
        <f>#N/A</f>
        <v>47.040000000000006</v>
      </c>
      <c r="I145" s="357">
        <f>#N/A</f>
        <v>1.6720000000000002</v>
      </c>
      <c r="J145" s="323">
        <f>#N/A</f>
        <v>1.5400000000000063</v>
      </c>
      <c r="K145" s="357">
        <f>#N/A</f>
        <v>1.0133333333333334</v>
      </c>
      <c r="L145" s="323">
        <f>#N/A</f>
        <v>0</v>
      </c>
      <c r="M145" s="323">
        <f>#N/A</f>
        <v>0</v>
      </c>
      <c r="N145" s="323">
        <f>#N/A</f>
        <v>0</v>
      </c>
      <c r="O145" s="323">
        <f>#N/A</f>
        <v>114.3</v>
      </c>
      <c r="P145" s="323">
        <f>#N/A</f>
        <v>1.2000000000000028</v>
      </c>
      <c r="Q145" s="357">
        <f>#N/A</f>
        <v>1.010498687664042</v>
      </c>
      <c r="R145" s="323">
        <f>#N/A</f>
        <v>71.63</v>
      </c>
      <c r="S145" s="323">
        <f>#N/A</f>
        <v>45.41000000000001</v>
      </c>
      <c r="T145" s="357">
        <f>#N/A</f>
        <v>1.63395225464191</v>
      </c>
      <c r="U145" s="323">
        <f>#N/A</f>
        <v>10</v>
      </c>
      <c r="V145" s="323">
        <f>#N/A</f>
        <v>0</v>
      </c>
      <c r="W145" s="323">
        <f>#N/A</f>
        <v>-10</v>
      </c>
      <c r="X145" s="357">
        <f>#N/A</f>
        <v>0</v>
      </c>
      <c r="Y145" s="446">
        <f>#N/A</f>
        <v>0.623453566977868</v>
      </c>
      <c r="Z145" s="163"/>
    </row>
    <row r="146" spans="2:26" ht="46.5" hidden="1">
      <c r="B146" s="329" t="s">
        <v>17</v>
      </c>
      <c r="C146" s="322" t="s">
        <v>18</v>
      </c>
      <c r="D146" s="323">
        <f>D71</f>
        <v>3</v>
      </c>
      <c r="E146" s="323">
        <f>#N/A</f>
        <v>3</v>
      </c>
      <c r="F146" s="323">
        <f>#N/A</f>
        <v>1.5</v>
      </c>
      <c r="G146" s="323">
        <f>#N/A</f>
        <v>0.15</v>
      </c>
      <c r="H146" s="323">
        <f>#N/A</f>
        <v>-1.35</v>
      </c>
      <c r="I146" s="357">
        <f>#N/A</f>
        <v>0.09999999999999999</v>
      </c>
      <c r="J146" s="323">
        <f>#N/A</f>
        <v>-2.85</v>
      </c>
      <c r="K146" s="357">
        <f>#N/A</f>
        <v>0.049999999999999996</v>
      </c>
      <c r="L146" s="323">
        <f>#N/A</f>
        <v>0</v>
      </c>
      <c r="M146" s="323">
        <f>#N/A</f>
        <v>0</v>
      </c>
      <c r="N146" s="323">
        <f>#N/A</f>
        <v>0</v>
      </c>
      <c r="O146" s="323">
        <f>#N/A</f>
        <v>2.04</v>
      </c>
      <c r="P146" s="323">
        <f>#N/A</f>
        <v>0.96</v>
      </c>
      <c r="Q146" s="357">
        <f>#N/A</f>
        <v>1.4705882352941175</v>
      </c>
      <c r="R146" s="323">
        <f>#N/A</f>
        <v>2.04</v>
      </c>
      <c r="S146" s="323">
        <f>#N/A</f>
        <v>-1.8900000000000001</v>
      </c>
      <c r="T146" s="357">
        <f>#N/A</f>
        <v>0.07352941176470588</v>
      </c>
      <c r="U146" s="323">
        <f>#N/A</f>
        <v>0</v>
      </c>
      <c r="V146" s="323">
        <f>#N/A</f>
        <v>0</v>
      </c>
      <c r="W146" s="323">
        <f>#N/A</f>
        <v>0</v>
      </c>
      <c r="X146" s="357">
        <f>#N/A</f>
        <v>0</v>
      </c>
      <c r="Y146" s="446">
        <f>#N/A</f>
        <v>-1.3970588235294117</v>
      </c>
      <c r="Z146" s="163"/>
    </row>
    <row r="147" spans="2:26" ht="30.75" hidden="1">
      <c r="B147" s="344" t="s">
        <v>39</v>
      </c>
      <c r="C147" s="322">
        <v>31010200</v>
      </c>
      <c r="D147" s="345">
        <f>#N/A</f>
        <v>35</v>
      </c>
      <c r="E147" s="345">
        <f>#N/A</f>
        <v>35</v>
      </c>
      <c r="F147" s="345">
        <f>#N/A</f>
        <v>24.07</v>
      </c>
      <c r="G147" s="345">
        <f>#N/A</f>
        <v>7.94</v>
      </c>
      <c r="H147" s="345">
        <f>#N/A</f>
        <v>-16.13</v>
      </c>
      <c r="I147" s="444">
        <f>#N/A</f>
        <v>0.3298712089738264</v>
      </c>
      <c r="J147" s="345">
        <f>#N/A</f>
        <v>-27.06</v>
      </c>
      <c r="K147" s="444">
        <f>#N/A</f>
        <v>0.22685714285714287</v>
      </c>
      <c r="L147" s="345">
        <f>#N/A</f>
        <v>0</v>
      </c>
      <c r="M147" s="345">
        <f>#N/A</f>
        <v>0</v>
      </c>
      <c r="N147" s="345">
        <f>#N/A</f>
        <v>0</v>
      </c>
      <c r="O147" s="345">
        <f>#N/A</f>
        <v>34.22</v>
      </c>
      <c r="P147" s="345">
        <f>#N/A</f>
        <v>0.7800000000000011</v>
      </c>
      <c r="Q147" s="444">
        <f>#N/A</f>
        <v>1.0227936879018118</v>
      </c>
      <c r="R147" s="345">
        <f>#N/A</f>
        <v>30.95</v>
      </c>
      <c r="S147" s="345">
        <f>#N/A</f>
        <v>-23.009999999999998</v>
      </c>
      <c r="T147" s="444">
        <f>#N/A</f>
        <v>0.25654281098546045</v>
      </c>
      <c r="U147" s="345">
        <f>#N/A</f>
        <v>2.8999999999999986</v>
      </c>
      <c r="V147" s="345">
        <f>#N/A</f>
        <v>0</v>
      </c>
      <c r="W147" s="345">
        <f>#N/A</f>
        <v>-2.8999999999999986</v>
      </c>
      <c r="X147" s="444">
        <f>#N/A</f>
        <v>0</v>
      </c>
      <c r="Y147" s="446">
        <f>#N/A</f>
        <v>-0.7662508769163514</v>
      </c>
      <c r="Z147" s="163"/>
    </row>
    <row r="148" spans="2:26" ht="30.75" hidden="1">
      <c r="B148" s="344" t="s">
        <v>49</v>
      </c>
      <c r="C148" s="322">
        <v>31020000</v>
      </c>
      <c r="D148" s="345">
        <f>#N/A</f>
        <v>0</v>
      </c>
      <c r="E148" s="345">
        <f>#N/A</f>
        <v>0</v>
      </c>
      <c r="F148" s="345">
        <f>#N/A</f>
        <v>0</v>
      </c>
      <c r="G148" s="345">
        <f>#N/A</f>
        <v>0.68</v>
      </c>
      <c r="H148" s="345">
        <f>#N/A</f>
        <v>0.68</v>
      </c>
      <c r="I148" s="444" t="e">
        <f>#N/A</f>
        <v>#DIV/0!</v>
      </c>
      <c r="J148" s="345">
        <f>#N/A</f>
        <v>0.68</v>
      </c>
      <c r="K148" s="444">
        <f>#N/A</f>
        <v>0</v>
      </c>
      <c r="L148" s="345">
        <f>#N/A</f>
        <v>0</v>
      </c>
      <c r="M148" s="345">
        <f>#N/A</f>
        <v>0</v>
      </c>
      <c r="N148" s="345">
        <f>#N/A</f>
        <v>0</v>
      </c>
      <c r="O148" s="345">
        <f>#N/A</f>
        <v>-4.86</v>
      </c>
      <c r="P148" s="345">
        <f>#N/A</f>
        <v>4.86</v>
      </c>
      <c r="Q148" s="444">
        <f>#N/A</f>
        <v>0</v>
      </c>
      <c r="R148" s="345">
        <f>#N/A</f>
        <v>-5.17</v>
      </c>
      <c r="S148" s="345">
        <f>#N/A</f>
        <v>5.85</v>
      </c>
      <c r="T148" s="444">
        <f>#N/A</f>
        <v>-0.13152804642166346</v>
      </c>
      <c r="U148" s="345">
        <f>#N/A</f>
        <v>0</v>
      </c>
      <c r="V148" s="345">
        <f>#N/A</f>
        <v>0</v>
      </c>
      <c r="W148" s="345">
        <f>#N/A</f>
        <v>0</v>
      </c>
      <c r="X148" s="444">
        <f>#N/A</f>
        <v>0</v>
      </c>
      <c r="Y148" s="446">
        <f>#N/A</f>
        <v>-0.13152804642166346</v>
      </c>
      <c r="Z148" s="163"/>
    </row>
    <row r="149" spans="4:26" ht="15" hidden="1">
      <c r="D149" s="351">
        <f>SUM(D140:D148)</f>
        <v>1304.1</v>
      </c>
      <c r="E149" s="351">
        <f>SUM(E140:E148)</f>
        <v>1304.1</v>
      </c>
      <c r="F149" s="351">
        <f>SUM(F140:F148)</f>
        <v>831.07</v>
      </c>
      <c r="G149" s="351">
        <f>SUM(G140:G148)</f>
        <v>1079.5000000000002</v>
      </c>
      <c r="H149" s="351">
        <f>SUM(H140:H148)</f>
        <v>248.43000000000006</v>
      </c>
      <c r="I149" s="189">
        <f>G149/F149</f>
        <v>1.2989278881442</v>
      </c>
      <c r="J149" s="351">
        <f>G149-E149</f>
        <v>-224.59999999999968</v>
      </c>
      <c r="K149" s="441">
        <f>G149/E149</f>
        <v>0.8277739437159729</v>
      </c>
      <c r="O149" s="351">
        <f>SUM(O140:O148)</f>
        <v>1238.34</v>
      </c>
      <c r="P149" s="351">
        <f>SUM(P140:P148)</f>
        <v>65.76000000000005</v>
      </c>
      <c r="Q149" s="189">
        <f>E149/O149</f>
        <v>1.053103348030428</v>
      </c>
      <c r="R149" s="351">
        <f>SUM(R140:R148)</f>
        <v>982.76</v>
      </c>
      <c r="S149" s="351">
        <f>SUM(S140:S148)</f>
        <v>96.74000000000007</v>
      </c>
      <c r="T149" s="189">
        <f>G149/R149</f>
        <v>1.0984370548251865</v>
      </c>
      <c r="U149" s="351">
        <f>SUM(U140:U148)</f>
        <v>125.9</v>
      </c>
      <c r="V149" s="351">
        <f>SUM(V140:V148)</f>
        <v>0</v>
      </c>
      <c r="W149" s="351">
        <f>SUM(W140:W148)</f>
        <v>-125.9</v>
      </c>
      <c r="X149" s="189">
        <f>V149/U149</f>
        <v>0</v>
      </c>
      <c r="Y149" s="189">
        <f>#N/A</f>
        <v>0.045333706794758566</v>
      </c>
      <c r="Z149" s="163"/>
    </row>
    <row r="150" spans="4:25" ht="15" hidden="1">
      <c r="D150" s="4"/>
      <c r="F150" s="78"/>
      <c r="G150" s="4"/>
      <c r="Y150" s="189"/>
    </row>
    <row r="151" spans="2:25" ht="15" hidden="1">
      <c r="B151" s="354" t="s">
        <v>183</v>
      </c>
      <c r="D151" s="4"/>
      <c r="F151" s="78"/>
      <c r="G151" s="4"/>
      <c r="Y151" s="189"/>
    </row>
    <row r="152" spans="2:25" ht="30.75" hidden="1">
      <c r="B152" s="355" t="s">
        <v>89</v>
      </c>
      <c r="C152" s="356">
        <v>22010300</v>
      </c>
      <c r="D152" s="323">
        <f>#N/A</f>
        <v>1284</v>
      </c>
      <c r="E152" s="323">
        <f>#N/A</f>
        <v>1284</v>
      </c>
      <c r="F152" s="323">
        <f>#N/A</f>
        <v>844</v>
      </c>
      <c r="G152" s="323">
        <f>#N/A</f>
        <v>693.4</v>
      </c>
      <c r="H152" s="323">
        <f>#N/A</f>
        <v>-150.60000000000002</v>
      </c>
      <c r="I152" s="357">
        <f>#N/A</f>
        <v>0.821563981042654</v>
      </c>
      <c r="J152" s="323">
        <f>#N/A</f>
        <v>-590.6</v>
      </c>
      <c r="K152" s="357">
        <f>#N/A</f>
        <v>0.5400311526479751</v>
      </c>
      <c r="L152" s="323">
        <f>#N/A</f>
        <v>0</v>
      </c>
      <c r="M152" s="323">
        <f>#N/A</f>
        <v>0</v>
      </c>
      <c r="N152" s="323">
        <f>#N/A</f>
        <v>0</v>
      </c>
      <c r="O152" s="323">
        <f>#N/A</f>
        <v>1205.14</v>
      </c>
      <c r="P152" s="323">
        <f>#N/A</f>
        <v>78.8599999999999</v>
      </c>
      <c r="Q152" s="357">
        <f>#N/A</f>
        <v>1.0654363808354215</v>
      </c>
      <c r="R152" s="323">
        <f>#N/A</f>
        <v>812.87</v>
      </c>
      <c r="S152" s="323">
        <f>#N/A</f>
        <v>-119.47000000000003</v>
      </c>
      <c r="T152" s="357">
        <f>#N/A</f>
        <v>0.8530269292752838</v>
      </c>
      <c r="U152" s="323">
        <f>#N/A</f>
        <v>110</v>
      </c>
      <c r="V152" s="323">
        <f>#N/A</f>
        <v>3.0499999999999545</v>
      </c>
      <c r="W152" s="323">
        <f>#N/A</f>
        <v>-106.95000000000005</v>
      </c>
      <c r="X152" s="357">
        <f>#N/A</f>
        <v>0.027727272727272313</v>
      </c>
      <c r="Y152" s="446">
        <f>#N/A</f>
        <v>-0.21240945156013769</v>
      </c>
    </row>
    <row r="153" spans="2:25" ht="15" hidden="1">
      <c r="B153" s="355" t="s">
        <v>106</v>
      </c>
      <c r="C153" s="356">
        <v>22010200</v>
      </c>
      <c r="D153" s="323">
        <f>#N/A</f>
        <v>0</v>
      </c>
      <c r="E153" s="323">
        <f>#N/A</f>
        <v>0</v>
      </c>
      <c r="F153" s="323">
        <f>#N/A</f>
        <v>0</v>
      </c>
      <c r="G153" s="323">
        <f>#N/A</f>
        <v>0</v>
      </c>
      <c r="H153" s="323">
        <f>#N/A</f>
        <v>0</v>
      </c>
      <c r="I153" s="357" t="e">
        <f>#N/A</f>
        <v>#DIV/0!</v>
      </c>
      <c r="J153" s="323">
        <f>#N/A</f>
        <v>0</v>
      </c>
      <c r="K153" s="357" t="e">
        <f>#N/A</f>
        <v>#DIV/0!</v>
      </c>
      <c r="L153" s="323">
        <f>#N/A</f>
        <v>0</v>
      </c>
      <c r="M153" s="323">
        <f>#N/A</f>
        <v>0</v>
      </c>
      <c r="N153" s="323">
        <f>#N/A</f>
        <v>0</v>
      </c>
      <c r="O153" s="323">
        <f>#N/A</f>
        <v>23.38</v>
      </c>
      <c r="P153" s="323">
        <f>#N/A</f>
        <v>-23.38</v>
      </c>
      <c r="Q153" s="357">
        <f>#N/A</f>
        <v>0</v>
      </c>
      <c r="R153" s="323">
        <f>#N/A</f>
        <v>23.38</v>
      </c>
      <c r="S153" s="323">
        <f>#N/A</f>
        <v>-23.38</v>
      </c>
      <c r="T153" s="357">
        <f>#N/A</f>
        <v>0</v>
      </c>
      <c r="U153" s="323">
        <f>#N/A</f>
        <v>0</v>
      </c>
      <c r="V153" s="323">
        <f>#N/A</f>
        <v>0</v>
      </c>
      <c r="W153" s="323">
        <f>#N/A</f>
        <v>0</v>
      </c>
      <c r="X153" s="357" t="e">
        <f>#N/A</f>
        <v>#DIV/0!</v>
      </c>
      <c r="Y153" s="446">
        <f>#N/A</f>
        <v>0</v>
      </c>
    </row>
    <row r="154" spans="2:25" ht="15" hidden="1">
      <c r="B154" s="358" t="s">
        <v>65</v>
      </c>
      <c r="C154" s="359">
        <v>22012500</v>
      </c>
      <c r="D154" s="360">
        <f>#N/A</f>
        <v>21260</v>
      </c>
      <c r="E154" s="360">
        <f>#N/A</f>
        <v>22260</v>
      </c>
      <c r="F154" s="360">
        <f>#N/A</f>
        <v>15690</v>
      </c>
      <c r="G154" s="360">
        <f>#N/A</f>
        <v>13842.3</v>
      </c>
      <c r="H154" s="360">
        <f>#N/A</f>
        <v>-1847.7000000000007</v>
      </c>
      <c r="I154" s="362">
        <f>#N/A</f>
        <v>0.8822370936902485</v>
      </c>
      <c r="J154" s="360">
        <f>#N/A</f>
        <v>-8417.7</v>
      </c>
      <c r="K154" s="362">
        <f>#N/A</f>
        <v>0.6218463611859838</v>
      </c>
      <c r="L154" s="360">
        <f>#N/A</f>
        <v>0</v>
      </c>
      <c r="M154" s="360">
        <f>#N/A</f>
        <v>0</v>
      </c>
      <c r="N154" s="360">
        <f>#N/A</f>
        <v>0</v>
      </c>
      <c r="O154" s="360">
        <f>#N/A</f>
        <v>20110.14</v>
      </c>
      <c r="P154" s="360">
        <f>#N/A</f>
        <v>2149.8600000000006</v>
      </c>
      <c r="Q154" s="362">
        <f>#N/A</f>
        <v>1.1069042781402816</v>
      </c>
      <c r="R154" s="360">
        <f>#N/A</f>
        <v>12913.87</v>
      </c>
      <c r="S154" s="360">
        <f>#N/A</f>
        <v>928.4299999999985</v>
      </c>
      <c r="T154" s="362">
        <f>#N/A</f>
        <v>1.0718940178273437</v>
      </c>
      <c r="U154" s="360">
        <f>#N/A</f>
        <v>1800</v>
      </c>
      <c r="V154" s="360">
        <f>#N/A</f>
        <v>129.34000000000015</v>
      </c>
      <c r="W154" s="360">
        <f>#N/A</f>
        <v>-1670.6599999999999</v>
      </c>
      <c r="X154" s="362">
        <f>#N/A</f>
        <v>0.07185555555555563</v>
      </c>
      <c r="Y154" s="446">
        <f>#N/A</f>
        <v>-0.03501026031293786</v>
      </c>
    </row>
    <row r="155" spans="2:25" ht="30.75" hidden="1">
      <c r="B155" s="358" t="s">
        <v>86</v>
      </c>
      <c r="C155" s="359">
        <v>22012600</v>
      </c>
      <c r="D155" s="360">
        <f>#N/A</f>
        <v>767</v>
      </c>
      <c r="E155" s="360">
        <f>#N/A</f>
        <v>767</v>
      </c>
      <c r="F155" s="360">
        <f>#N/A</f>
        <v>507.3</v>
      </c>
      <c r="G155" s="360">
        <f>#N/A</f>
        <v>510</v>
      </c>
      <c r="H155" s="360">
        <f>#N/A</f>
        <v>2.6999999999999886</v>
      </c>
      <c r="I155" s="362">
        <f>#N/A</f>
        <v>1.0053222945002958</v>
      </c>
      <c r="J155" s="360">
        <f>#N/A</f>
        <v>-257</v>
      </c>
      <c r="K155" s="362">
        <f>#N/A</f>
        <v>0.6649282920469362</v>
      </c>
      <c r="L155" s="360">
        <f>#N/A</f>
        <v>0</v>
      </c>
      <c r="M155" s="360">
        <f>#N/A</f>
        <v>0</v>
      </c>
      <c r="N155" s="360">
        <f>#N/A</f>
        <v>0</v>
      </c>
      <c r="O155" s="360">
        <f>#N/A</f>
        <v>710.04</v>
      </c>
      <c r="P155" s="360">
        <f>#N/A</f>
        <v>56.960000000000036</v>
      </c>
      <c r="Q155" s="362">
        <f>#N/A</f>
        <v>1.0802208326291478</v>
      </c>
      <c r="R155" s="360">
        <f>#N/A</f>
        <v>376.24</v>
      </c>
      <c r="S155" s="360">
        <f>#N/A</f>
        <v>133.76</v>
      </c>
      <c r="T155" s="362">
        <f>#N/A</f>
        <v>1.3555177546247077</v>
      </c>
      <c r="U155" s="360">
        <f>#N/A</f>
        <v>65</v>
      </c>
      <c r="V155" s="360">
        <f>#N/A</f>
        <v>5.490000000000009</v>
      </c>
      <c r="W155" s="360">
        <f>#N/A</f>
        <v>-59.50999999999999</v>
      </c>
      <c r="X155" s="362">
        <f>#N/A</f>
        <v>0.0844615384615386</v>
      </c>
      <c r="Y155" s="446">
        <f>#N/A</f>
        <v>0.2752969219955599</v>
      </c>
    </row>
    <row r="156" spans="2:25" ht="30.75" hidden="1">
      <c r="B156" s="358" t="s">
        <v>90</v>
      </c>
      <c r="C156" s="359">
        <v>22012900</v>
      </c>
      <c r="D156" s="360">
        <f>#N/A</f>
        <v>44</v>
      </c>
      <c r="E156" s="360">
        <f>#N/A</f>
        <v>44</v>
      </c>
      <c r="F156" s="360">
        <f>#N/A</f>
        <v>28</v>
      </c>
      <c r="G156" s="360">
        <f>#N/A</f>
        <v>13.23</v>
      </c>
      <c r="H156" s="360">
        <f>#N/A</f>
        <v>-14.77</v>
      </c>
      <c r="I156" s="362">
        <f>#N/A</f>
        <v>0.47250000000000003</v>
      </c>
      <c r="J156" s="360">
        <f>#N/A</f>
        <v>-30.77</v>
      </c>
      <c r="K156" s="362">
        <f>#N/A</f>
        <v>0.3006818181818182</v>
      </c>
      <c r="L156" s="360">
        <f>#N/A</f>
        <v>0</v>
      </c>
      <c r="M156" s="360">
        <f>#N/A</f>
        <v>0</v>
      </c>
      <c r="N156" s="360">
        <f>#N/A</f>
        <v>0</v>
      </c>
      <c r="O156" s="360">
        <f>#N/A</f>
        <v>41.44</v>
      </c>
      <c r="P156" s="360">
        <f>#N/A</f>
        <v>2.5600000000000023</v>
      </c>
      <c r="Q156" s="362">
        <f>#N/A</f>
        <v>1.0617760617760619</v>
      </c>
      <c r="R156" s="360">
        <f>#N/A</f>
        <v>31.68</v>
      </c>
      <c r="S156" s="360">
        <f>#N/A</f>
        <v>-18.45</v>
      </c>
      <c r="T156" s="362">
        <f>#N/A</f>
        <v>0.41761363636363635</v>
      </c>
      <c r="U156" s="360">
        <f>#N/A</f>
        <v>4</v>
      </c>
      <c r="V156" s="360">
        <f>#N/A</f>
        <v>0</v>
      </c>
      <c r="W156" s="360">
        <f>#N/A</f>
        <v>-4</v>
      </c>
      <c r="X156" s="362">
        <f>#N/A</f>
        <v>0</v>
      </c>
      <c r="Y156" s="446">
        <f>#N/A</f>
        <v>-0.6441624254124255</v>
      </c>
    </row>
    <row r="157" spans="2:25" ht="15" hidden="1">
      <c r="B157" s="354" t="s">
        <v>183</v>
      </c>
      <c r="C157" s="365">
        <v>22010000</v>
      </c>
      <c r="D157" s="351">
        <f>SUM(D152:D156)</f>
        <v>23355</v>
      </c>
      <c r="E157" s="351">
        <f>#N/A</f>
        <v>24355</v>
      </c>
      <c r="F157" s="351">
        <f>#N/A</f>
        <v>17069.3</v>
      </c>
      <c r="G157" s="351">
        <f>#N/A</f>
        <v>15058.929999999998</v>
      </c>
      <c r="H157" s="351">
        <f>#N/A</f>
        <v>-2010.3700000000006</v>
      </c>
      <c r="I157" s="189">
        <f>G157/F157</f>
        <v>0.8822230554269946</v>
      </c>
      <c r="J157" s="351">
        <f>#N/A</f>
        <v>-9296.070000000002</v>
      </c>
      <c r="K157" s="189">
        <f>G157/E157</f>
        <v>0.6183095873537261</v>
      </c>
      <c r="L157" s="351">
        <f>#N/A</f>
        <v>0</v>
      </c>
      <c r="M157" s="351">
        <f>#N/A</f>
        <v>0</v>
      </c>
      <c r="N157" s="351">
        <f>#N/A</f>
        <v>0</v>
      </c>
      <c r="O157" s="351">
        <f>#N/A</f>
        <v>22090.14</v>
      </c>
      <c r="P157" s="351">
        <f>#N/A</f>
        <v>2264.8600000000006</v>
      </c>
      <c r="Q157" s="189">
        <f>E157/O157</f>
        <v>1.1025280962456554</v>
      </c>
      <c r="R157" s="351">
        <f>#N/A</f>
        <v>14158.04</v>
      </c>
      <c r="S157" s="351">
        <f>#N/A</f>
        <v>900.8899999999984</v>
      </c>
      <c r="T157" s="189">
        <f>G157/R157</f>
        <v>1.0636309828196557</v>
      </c>
      <c r="U157" s="351">
        <f>#N/A</f>
        <v>1979</v>
      </c>
      <c r="V157" s="351">
        <f>#N/A</f>
        <v>137.8800000000001</v>
      </c>
      <c r="W157" s="351">
        <f>#N/A</f>
        <v>-1841.12</v>
      </c>
      <c r="X157" s="189">
        <f>V157/U157</f>
        <v>0.06967155128852962</v>
      </c>
      <c r="Y157" s="189">
        <f>#N/A</f>
        <v>-0.03889711342599966</v>
      </c>
    </row>
    <row r="158" spans="4:25" ht="15" hidden="1">
      <c r="D158" s="4"/>
      <c r="F158" s="78"/>
      <c r="G158" s="4"/>
      <c r="Y158" s="189"/>
    </row>
    <row r="159" spans="4:25" ht="15" hidden="1">
      <c r="D159" s="4"/>
      <c r="F159" s="78"/>
      <c r="G159" s="4"/>
      <c r="Y159" s="189"/>
    </row>
    <row r="160" spans="2:25" ht="15" hidden="1">
      <c r="B160" s="354" t="s">
        <v>184</v>
      </c>
      <c r="D160" s="4"/>
      <c r="F160" s="78"/>
      <c r="G160" s="4"/>
      <c r="Y160" s="189"/>
    </row>
    <row r="161" spans="2:25" ht="15" hidden="1">
      <c r="B161" s="366" t="s">
        <v>13</v>
      </c>
      <c r="C161" s="322" t="s">
        <v>19</v>
      </c>
      <c r="D161" s="348">
        <f>D72</f>
        <v>8170</v>
      </c>
      <c r="E161" s="348">
        <f>#N/A</f>
        <v>8170</v>
      </c>
      <c r="F161" s="348">
        <f>#N/A</f>
        <v>5328.65</v>
      </c>
      <c r="G161" s="348">
        <f>#N/A</f>
        <v>3825.7</v>
      </c>
      <c r="H161" s="348">
        <f>#N/A</f>
        <v>-1502.9499999999998</v>
      </c>
      <c r="I161" s="347">
        <f>#N/A</f>
        <v>0.7179491991404953</v>
      </c>
      <c r="J161" s="348">
        <f>#N/A</f>
        <v>-4344.3</v>
      </c>
      <c r="K161" s="347">
        <f>#N/A</f>
        <v>0.46826193390452875</v>
      </c>
      <c r="L161" s="348">
        <f>#N/A</f>
        <v>0</v>
      </c>
      <c r="M161" s="348">
        <f>#N/A</f>
        <v>0</v>
      </c>
      <c r="N161" s="348">
        <f>#N/A</f>
        <v>0</v>
      </c>
      <c r="O161" s="348">
        <f>#N/A</f>
        <v>8086.92</v>
      </c>
      <c r="P161" s="348">
        <f>#N/A</f>
        <v>83.07999999999993</v>
      </c>
      <c r="Q161" s="347">
        <f>#N/A</f>
        <v>1.0102733797292418</v>
      </c>
      <c r="R161" s="348">
        <f>#N/A</f>
        <v>5877.33</v>
      </c>
      <c r="S161" s="348">
        <f>#N/A</f>
        <v>-2051.63</v>
      </c>
      <c r="T161" s="347">
        <f>#N/A</f>
        <v>0.650924824707818</v>
      </c>
      <c r="U161" s="348">
        <f>#N/A</f>
        <v>680</v>
      </c>
      <c r="V161" s="348">
        <f>#N/A</f>
        <v>1.7300000000000182</v>
      </c>
      <c r="W161" s="348">
        <f>#N/A</f>
        <v>-678.27</v>
      </c>
      <c r="X161" s="347">
        <f>#N/A</f>
        <v>0.0025441176470588503</v>
      </c>
      <c r="Y161" s="189">
        <f>#N/A</f>
        <v>-0.3593485550214238</v>
      </c>
    </row>
    <row r="162" spans="2:25" ht="46.5" hidden="1">
      <c r="B162" s="366" t="s">
        <v>38</v>
      </c>
      <c r="C162" s="322">
        <v>24061900</v>
      </c>
      <c r="D162" s="348">
        <f>D76</f>
        <v>174.4</v>
      </c>
      <c r="E162" s="348">
        <f>#N/A</f>
        <v>174.4</v>
      </c>
      <c r="F162" s="348">
        <f>#N/A</f>
        <v>30</v>
      </c>
      <c r="G162" s="348">
        <f>#N/A</f>
        <v>0</v>
      </c>
      <c r="H162" s="348">
        <f>#N/A</f>
        <v>-30</v>
      </c>
      <c r="I162" s="347">
        <f>#N/A</f>
        <v>0</v>
      </c>
      <c r="J162" s="348">
        <f>#N/A</f>
        <v>-174.4</v>
      </c>
      <c r="K162" s="347">
        <f>#N/A</f>
        <v>0</v>
      </c>
      <c r="L162" s="348">
        <f>#N/A</f>
        <v>0</v>
      </c>
      <c r="M162" s="348">
        <f>#N/A</f>
        <v>0</v>
      </c>
      <c r="N162" s="348">
        <f>#N/A</f>
        <v>0</v>
      </c>
      <c r="O162" s="348">
        <f>#N/A</f>
        <v>142.18</v>
      </c>
      <c r="P162" s="348">
        <f>#N/A</f>
        <v>32.22</v>
      </c>
      <c r="Q162" s="347">
        <f>#N/A</f>
        <v>1.2266141510761006</v>
      </c>
      <c r="R162" s="348">
        <f>#N/A</f>
        <v>60.14</v>
      </c>
      <c r="S162" s="348">
        <f>#N/A</f>
        <v>-60.14</v>
      </c>
      <c r="T162" s="347">
        <f>#N/A</f>
        <v>0</v>
      </c>
      <c r="U162" s="348">
        <f>#N/A</f>
        <v>0</v>
      </c>
      <c r="V162" s="348">
        <f>#N/A</f>
        <v>0</v>
      </c>
      <c r="W162" s="348">
        <f>#N/A</f>
        <v>0</v>
      </c>
      <c r="X162" s="347" t="e">
        <f>#N/A</f>
        <v>#DIV/0!</v>
      </c>
      <c r="Y162" s="189">
        <f>#N/A</f>
        <v>-1.2266141510761006</v>
      </c>
    </row>
    <row r="163" spans="2:25" ht="15" hidden="1">
      <c r="B163" s="354" t="s">
        <v>184</v>
      </c>
      <c r="C163" s="370">
        <v>24060000</v>
      </c>
      <c r="D163" s="351">
        <f>SUM(D161:D162)</f>
        <v>8344.4</v>
      </c>
      <c r="E163" s="351">
        <f>#N/A</f>
        <v>8344.4</v>
      </c>
      <c r="F163" s="351">
        <f>#N/A</f>
        <v>5358.65</v>
      </c>
      <c r="G163" s="351">
        <f>#N/A</f>
        <v>3825.7</v>
      </c>
      <c r="H163" s="351">
        <f>#N/A</f>
        <v>-1532.9499999999998</v>
      </c>
      <c r="I163" s="189">
        <f>G163/F163</f>
        <v>0.713929814412212</v>
      </c>
      <c r="J163" s="351">
        <f>#N/A</f>
        <v>-4518.7</v>
      </c>
      <c r="K163" s="189">
        <f>G163/E163</f>
        <v>0.45847514500743014</v>
      </c>
      <c r="L163" s="351">
        <f>#N/A</f>
        <v>0</v>
      </c>
      <c r="M163" s="351">
        <f>#N/A</f>
        <v>0</v>
      </c>
      <c r="N163" s="351">
        <f>#N/A</f>
        <v>0</v>
      </c>
      <c r="O163" s="351">
        <f>#N/A</f>
        <v>8229.1</v>
      </c>
      <c r="P163" s="351">
        <f>#N/A</f>
        <v>115.29999999999993</v>
      </c>
      <c r="Q163" s="189">
        <f>E163/O163</f>
        <v>1.0140112527493892</v>
      </c>
      <c r="R163" s="351">
        <f>#N/A</f>
        <v>5937.47</v>
      </c>
      <c r="S163" s="351">
        <f>#N/A</f>
        <v>-2111.77</v>
      </c>
      <c r="T163" s="189">
        <f>G163/R163</f>
        <v>0.6443316766232081</v>
      </c>
      <c r="U163" s="351">
        <f>#N/A</f>
        <v>680</v>
      </c>
      <c r="V163" s="351">
        <f>#N/A</f>
        <v>1.7300000000000182</v>
      </c>
      <c r="W163" s="351">
        <f>#N/A</f>
        <v>-678.27</v>
      </c>
      <c r="X163" s="189">
        <f>V163/U163</f>
        <v>0.0025441176470588503</v>
      </c>
      <c r="Y163" s="189">
        <f>#N/A</f>
        <v>-0.3696795761261811</v>
      </c>
    </row>
    <row r="164" ht="15" hidden="1"/>
    <row r="165" ht="15" hidden="1"/>
    <row r="166" ht="15" hidden="1"/>
    <row r="167" ht="15" hidden="1"/>
    <row r="168" ht="15" hidden="1"/>
    <row r="169" spans="6:8" ht="15" hidden="1">
      <c r="F169" s="267"/>
      <c r="H169" s="163"/>
    </row>
    <row r="171" spans="6:9" ht="15">
      <c r="F171" s="267"/>
      <c r="H171" s="267"/>
      <c r="I171" s="163"/>
    </row>
  </sheetData>
  <sheetProtection/>
  <mergeCells count="30">
    <mergeCell ref="B113:C113"/>
    <mergeCell ref="G113:H113"/>
    <mergeCell ref="G108:H108"/>
    <mergeCell ref="G109:H109"/>
    <mergeCell ref="G110:H110"/>
    <mergeCell ref="B111:C111"/>
    <mergeCell ref="G111:H111"/>
    <mergeCell ref="G112:H112"/>
    <mergeCell ref="V4:V5"/>
    <mergeCell ref="W4:W5"/>
    <mergeCell ref="X4:X5"/>
    <mergeCell ref="L5:N5"/>
    <mergeCell ref="O5:Q5"/>
    <mergeCell ref="R5:T5"/>
    <mergeCell ref="F4:F5"/>
    <mergeCell ref="G4:G5"/>
    <mergeCell ref="H4:H5"/>
    <mergeCell ref="I4:I5"/>
    <mergeCell ref="J4:J5"/>
    <mergeCell ref="K4:K5"/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</mergeCells>
  <printOptions/>
  <pageMargins left="0.25" right="0.25" top="0.75" bottom="0.75" header="0.3" footer="0.3"/>
  <pageSetup fitToHeight="1" fitToWidth="1" orientation="portrait" paperSize="9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zoomScalePageLayoutView="0" workbookViewId="0" topLeftCell="B2">
      <selection activeCell="F9" sqref="F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4.50390625" style="4" hidden="1" customWidth="1"/>
    <col min="5" max="5" width="14.00390625" style="4" hidden="1" customWidth="1"/>
    <col min="6" max="6" width="16.50390625" style="428" customWidth="1"/>
    <col min="7" max="7" width="13.25390625" style="4" hidden="1" customWidth="1"/>
    <col min="8" max="8" width="1.875" style="4" hidden="1" customWidth="1"/>
    <col min="9" max="9" width="12.75390625" style="4" hidden="1" customWidth="1"/>
    <col min="10" max="10" width="11.75390625" style="4" hidden="1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30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504" t="s">
        <v>185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227"/>
      <c r="S1" s="372"/>
    </row>
    <row r="2" spans="2:19" s="1" customFormat="1" ht="15.75" customHeight="1">
      <c r="B2" s="470"/>
      <c r="C2" s="470"/>
      <c r="D2" s="470"/>
      <c r="E2" s="2"/>
      <c r="F2" s="373"/>
      <c r="G2" s="2"/>
      <c r="H2" s="2"/>
      <c r="M2" s="1" t="s">
        <v>24</v>
      </c>
      <c r="Q2" s="16" t="s">
        <v>24</v>
      </c>
      <c r="R2" s="16"/>
      <c r="S2" s="374"/>
    </row>
    <row r="3" spans="1:19" s="3" customFormat="1" ht="13.5" customHeight="1">
      <c r="A3" s="471"/>
      <c r="B3" s="473"/>
      <c r="C3" s="474" t="s">
        <v>0</v>
      </c>
      <c r="D3" s="475" t="s">
        <v>186</v>
      </c>
      <c r="E3" s="25"/>
      <c r="F3" s="476" t="s">
        <v>26</v>
      </c>
      <c r="G3" s="477"/>
      <c r="H3" s="477"/>
      <c r="I3" s="477"/>
      <c r="J3" s="478"/>
      <c r="K3" s="64"/>
      <c r="L3" s="64"/>
      <c r="M3" s="64"/>
      <c r="N3" s="511" t="s">
        <v>187</v>
      </c>
      <c r="O3" s="482" t="s">
        <v>145</v>
      </c>
      <c r="P3" s="482"/>
      <c r="Q3" s="482"/>
      <c r="R3" s="482"/>
      <c r="S3" s="482"/>
    </row>
    <row r="4" spans="1:19" ht="22.5" customHeight="1">
      <c r="A4" s="471"/>
      <c r="B4" s="473"/>
      <c r="C4" s="474"/>
      <c r="D4" s="475"/>
      <c r="E4" s="483" t="s">
        <v>146</v>
      </c>
      <c r="F4" s="516" t="s">
        <v>31</v>
      </c>
      <c r="G4" s="487" t="s">
        <v>188</v>
      </c>
      <c r="H4" s="480" t="s">
        <v>189</v>
      </c>
      <c r="I4" s="487" t="s">
        <v>190</v>
      </c>
      <c r="J4" s="480" t="s">
        <v>191</v>
      </c>
      <c r="K4" s="65" t="s">
        <v>192</v>
      </c>
      <c r="L4" s="142" t="s">
        <v>96</v>
      </c>
      <c r="M4" s="66" t="s">
        <v>53</v>
      </c>
      <c r="N4" s="480"/>
      <c r="O4" s="489" t="s">
        <v>193</v>
      </c>
      <c r="P4" s="487" t="s">
        <v>44</v>
      </c>
      <c r="Q4" s="491" t="s">
        <v>43</v>
      </c>
      <c r="R4" s="375" t="s">
        <v>194</v>
      </c>
      <c r="S4" s="376" t="s">
        <v>53</v>
      </c>
    </row>
    <row r="5" spans="1:19" ht="67.5" customHeight="1">
      <c r="A5" s="472"/>
      <c r="B5" s="473"/>
      <c r="C5" s="474"/>
      <c r="D5" s="475"/>
      <c r="E5" s="484"/>
      <c r="F5" s="517"/>
      <c r="G5" s="488"/>
      <c r="H5" s="481"/>
      <c r="I5" s="488"/>
      <c r="J5" s="481"/>
      <c r="K5" s="492" t="s">
        <v>195</v>
      </c>
      <c r="L5" s="493"/>
      <c r="M5" s="494"/>
      <c r="N5" s="481"/>
      <c r="O5" s="490"/>
      <c r="P5" s="488"/>
      <c r="Q5" s="491"/>
      <c r="R5" s="492" t="s">
        <v>196</v>
      </c>
      <c r="S5" s="494"/>
    </row>
    <row r="6" spans="1:19" ht="15.75" customHeight="1">
      <c r="A6" s="5" t="s">
        <v>1</v>
      </c>
      <c r="B6" s="10" t="s">
        <v>2</v>
      </c>
      <c r="C6" s="48" t="s">
        <v>3</v>
      </c>
      <c r="D6" s="10" t="s">
        <v>4</v>
      </c>
      <c r="E6" s="10" t="s">
        <v>5</v>
      </c>
      <c r="F6" s="377" t="s">
        <v>6</v>
      </c>
      <c r="G6" s="10" t="s">
        <v>7</v>
      </c>
      <c r="H6" s="10" t="s">
        <v>33</v>
      </c>
      <c r="I6" s="10" t="s">
        <v>50</v>
      </c>
      <c r="J6" s="10" t="s">
        <v>8</v>
      </c>
      <c r="K6" s="10" t="s">
        <v>25</v>
      </c>
      <c r="L6" s="10"/>
      <c r="M6" s="10" t="s">
        <v>55</v>
      </c>
      <c r="N6" s="10" t="s">
        <v>56</v>
      </c>
      <c r="O6" s="97" t="s">
        <v>57</v>
      </c>
      <c r="P6" s="10" t="s">
        <v>58</v>
      </c>
      <c r="Q6" s="10" t="s">
        <v>59</v>
      </c>
      <c r="R6" s="10" t="s">
        <v>197</v>
      </c>
      <c r="S6" s="378">
        <v>17</v>
      </c>
    </row>
    <row r="7" spans="1:19" ht="15.75" customHeight="1">
      <c r="A7" s="17"/>
      <c r="B7" s="18" t="s">
        <v>27</v>
      </c>
      <c r="C7" s="48"/>
      <c r="D7" s="10"/>
      <c r="E7" s="10"/>
      <c r="F7" s="377"/>
      <c r="G7" s="10"/>
      <c r="H7" s="10"/>
      <c r="I7" s="10"/>
      <c r="J7" s="10"/>
      <c r="K7" s="10"/>
      <c r="L7" s="10"/>
      <c r="M7" s="10"/>
      <c r="N7" s="10"/>
      <c r="O7" s="97"/>
      <c r="P7" s="10"/>
      <c r="Q7" s="10"/>
      <c r="R7" s="10"/>
      <c r="S7" s="379"/>
    </row>
    <row r="8" spans="1:24" s="6" customFormat="1" ht="17.25">
      <c r="A8" s="7"/>
      <c r="B8" s="105" t="s">
        <v>9</v>
      </c>
      <c r="C8" s="55" t="s">
        <v>10</v>
      </c>
      <c r="D8" s="103">
        <f>D9+D15+D18+D19+D20+D37+D17</f>
        <v>975359.8500000001</v>
      </c>
      <c r="E8" s="103" t="e">
        <f>E9+E15+E18+E19+E20+E37+E17</f>
        <v>#N/A</v>
      </c>
      <c r="F8" s="173">
        <f>F9+F15+F18+F19+F20+F37+F17</f>
        <v>984795.9400000001</v>
      </c>
      <c r="G8" s="103" t="e">
        <f>#N/A</f>
        <v>#N/A</v>
      </c>
      <c r="H8" s="380" t="e">
        <f>F8/E8*100</f>
        <v>#N/A</v>
      </c>
      <c r="I8" s="104">
        <f>F8-D8</f>
        <v>9436.089999999967</v>
      </c>
      <c r="J8" s="104">
        <f>F8/D8*100</f>
        <v>100.96744704018728</v>
      </c>
      <c r="K8" s="103">
        <v>672693.01</v>
      </c>
      <c r="L8" s="103" t="e">
        <f>#N/A</f>
        <v>#N/A</v>
      </c>
      <c r="M8" s="143" t="e">
        <f>#N/A</f>
        <v>#N/A</v>
      </c>
      <c r="N8" s="103" t="e">
        <f>N9+N15+N18+N19+N20+N17</f>
        <v>#REF!</v>
      </c>
      <c r="O8" s="103" t="e">
        <f>O9+O15+O18+O19+O20+O17</f>
        <v>#REF!</v>
      </c>
      <c r="P8" s="103" t="e">
        <f>O8-N8</f>
        <v>#REF!</v>
      </c>
      <c r="Q8" s="103" t="e">
        <f>O8/N8*100</f>
        <v>#REF!</v>
      </c>
      <c r="R8" s="14" t="e">
        <f>#N/A</f>
        <v>#N/A</v>
      </c>
      <c r="S8" s="14" t="e">
        <f>#N/A</f>
        <v>#N/A</v>
      </c>
      <c r="X8" s="101"/>
    </row>
    <row r="9" spans="1:20" s="6" customFormat="1" ht="18">
      <c r="A9" s="8"/>
      <c r="B9" s="381" t="s">
        <v>66</v>
      </c>
      <c r="C9" s="34">
        <v>11010000</v>
      </c>
      <c r="D9" s="102">
        <f>530589+7005.4</f>
        <v>537594.4</v>
      </c>
      <c r="E9" s="102">
        <f>D9</f>
        <v>537594.4</v>
      </c>
      <c r="F9" s="382">
        <v>541908.55</v>
      </c>
      <c r="G9" s="102" t="e">
        <f>#N/A</f>
        <v>#N/A</v>
      </c>
      <c r="H9" s="107">
        <f>F9/E9*100</f>
        <v>100.80249161821627</v>
      </c>
      <c r="I9" s="108">
        <f>F9-D9</f>
        <v>4314.150000000023</v>
      </c>
      <c r="J9" s="108">
        <f>F9/D9*100</f>
        <v>100.80249161821627</v>
      </c>
      <c r="K9" s="161">
        <v>372804.54</v>
      </c>
      <c r="L9" s="109" t="e">
        <f>#N/A</f>
        <v>#N/A</v>
      </c>
      <c r="M9" s="144" t="e">
        <f>#N/A</f>
        <v>#N/A</v>
      </c>
      <c r="N9" s="107" t="e">
        <f>E9-#REF!</f>
        <v>#REF!</v>
      </c>
      <c r="O9" s="110" t="e">
        <f>F9-#REF!</f>
        <v>#REF!</v>
      </c>
      <c r="P9" s="111" t="e">
        <f>O9-N9</f>
        <v>#REF!</v>
      </c>
      <c r="Q9" s="108" t="e">
        <f>O9/N9*100</f>
        <v>#REF!</v>
      </c>
      <c r="R9" s="383"/>
      <c r="S9" s="384"/>
      <c r="T9" s="101">
        <f>D9-E9</f>
        <v>0</v>
      </c>
    </row>
    <row r="10" spans="1:20" s="6" customFormat="1" ht="18">
      <c r="A10" s="8"/>
      <c r="B10" s="82" t="s">
        <v>76</v>
      </c>
      <c r="C10" s="70">
        <v>11010100</v>
      </c>
      <c r="D10" s="71">
        <v>485209</v>
      </c>
      <c r="E10" s="71" t="e">
        <f>#N/A</f>
        <v>#N/A</v>
      </c>
      <c r="F10" s="385">
        <v>476189.93</v>
      </c>
      <c r="G10" s="71" t="e">
        <f>#N/A</f>
        <v>#N/A</v>
      </c>
      <c r="H10" s="23" t="e">
        <f>#N/A</f>
        <v>#N/A</v>
      </c>
      <c r="I10" s="72" t="e">
        <f>#N/A</f>
        <v>#N/A</v>
      </c>
      <c r="J10" s="72" t="e">
        <f>#N/A</f>
        <v>#N/A</v>
      </c>
      <c r="K10" s="74">
        <v>329938.9</v>
      </c>
      <c r="L10" s="74" t="e">
        <f>#N/A</f>
        <v>#N/A</v>
      </c>
      <c r="M10" s="145" t="e">
        <f>#N/A</f>
        <v>#N/A</v>
      </c>
      <c r="N10" s="73" t="e">
        <f>E10-#REF!</f>
        <v>#N/A</v>
      </c>
      <c r="O10" s="98" t="e">
        <f>F10-#REF!</f>
        <v>#REF!</v>
      </c>
      <c r="P10" s="74" t="e">
        <f>#N/A</f>
        <v>#N/A</v>
      </c>
      <c r="Q10" s="108" t="e">
        <f>#N/A</f>
        <v>#N/A</v>
      </c>
      <c r="R10" s="30"/>
      <c r="S10" s="67"/>
      <c r="T10" s="101" t="e">
        <f>#N/A</f>
        <v>#N/A</v>
      </c>
    </row>
    <row r="11" spans="1:20" s="6" customFormat="1" ht="18">
      <c r="A11" s="8"/>
      <c r="B11" s="82" t="s">
        <v>72</v>
      </c>
      <c r="C11" s="70">
        <v>11010200</v>
      </c>
      <c r="D11" s="71">
        <f>23000+7005.4</f>
        <v>30005.4</v>
      </c>
      <c r="E11" s="71" t="e">
        <f>#N/A</f>
        <v>#N/A</v>
      </c>
      <c r="F11" s="385">
        <v>42401.33</v>
      </c>
      <c r="G11" s="71" t="e">
        <f>#N/A</f>
        <v>#N/A</v>
      </c>
      <c r="H11" s="23" t="e">
        <f>#N/A</f>
        <v>#N/A</v>
      </c>
      <c r="I11" s="72" t="e">
        <f>#N/A</f>
        <v>#N/A</v>
      </c>
      <c r="J11" s="72" t="e">
        <f>#N/A</f>
        <v>#N/A</v>
      </c>
      <c r="K11" s="74">
        <v>20742.02</v>
      </c>
      <c r="L11" s="74" t="e">
        <f>#N/A</f>
        <v>#N/A</v>
      </c>
      <c r="M11" s="145" t="e">
        <f>#N/A</f>
        <v>#N/A</v>
      </c>
      <c r="N11" s="73" t="e">
        <f>E11-#REF!</f>
        <v>#N/A</v>
      </c>
      <c r="O11" s="98" t="e">
        <f>F11-#REF!</f>
        <v>#REF!</v>
      </c>
      <c r="P11" s="74" t="e">
        <f>#N/A</f>
        <v>#N/A</v>
      </c>
      <c r="Q11" s="108" t="e">
        <f>#N/A</f>
        <v>#N/A</v>
      </c>
      <c r="R11" s="30"/>
      <c r="S11" s="67"/>
      <c r="T11" s="101" t="e">
        <f>#N/A</f>
        <v>#N/A</v>
      </c>
    </row>
    <row r="12" spans="1:20" s="6" customFormat="1" ht="18">
      <c r="A12" s="8"/>
      <c r="B12" s="82" t="s">
        <v>75</v>
      </c>
      <c r="C12" s="70">
        <v>11010400</v>
      </c>
      <c r="D12" s="71">
        <v>6500</v>
      </c>
      <c r="E12" s="71" t="e">
        <f>#N/A</f>
        <v>#N/A</v>
      </c>
      <c r="F12" s="385">
        <v>10663.92</v>
      </c>
      <c r="G12" s="71" t="e">
        <f>#N/A</f>
        <v>#N/A</v>
      </c>
      <c r="H12" s="23" t="e">
        <f>#N/A</f>
        <v>#N/A</v>
      </c>
      <c r="I12" s="72" t="e">
        <f>#N/A</f>
        <v>#N/A</v>
      </c>
      <c r="J12" s="72" t="e">
        <f>#N/A</f>
        <v>#N/A</v>
      </c>
      <c r="K12" s="74">
        <v>5604.18</v>
      </c>
      <c r="L12" s="74" t="e">
        <f>#N/A</f>
        <v>#N/A</v>
      </c>
      <c r="M12" s="145" t="e">
        <f>#N/A</f>
        <v>#N/A</v>
      </c>
      <c r="N12" s="73" t="e">
        <f>E12-#REF!</f>
        <v>#N/A</v>
      </c>
      <c r="O12" s="98" t="e">
        <f>F12-#REF!</f>
        <v>#REF!</v>
      </c>
      <c r="P12" s="74" t="e">
        <f>#N/A</f>
        <v>#N/A</v>
      </c>
      <c r="Q12" s="108" t="e">
        <f>#N/A</f>
        <v>#N/A</v>
      </c>
      <c r="R12" s="30"/>
      <c r="S12" s="67"/>
      <c r="T12" s="101" t="e">
        <f>#N/A</f>
        <v>#N/A</v>
      </c>
    </row>
    <row r="13" spans="1:20" s="6" customFormat="1" ht="18">
      <c r="A13" s="8"/>
      <c r="B13" s="82" t="s">
        <v>73</v>
      </c>
      <c r="C13" s="70">
        <v>11010500</v>
      </c>
      <c r="D13" s="71">
        <v>12400</v>
      </c>
      <c r="E13" s="71" t="e">
        <f>#N/A</f>
        <v>#N/A</v>
      </c>
      <c r="F13" s="385">
        <v>9532.64</v>
      </c>
      <c r="G13" s="71" t="e">
        <f>#N/A</f>
        <v>#N/A</v>
      </c>
      <c r="H13" s="23" t="e">
        <f>#N/A</f>
        <v>#N/A</v>
      </c>
      <c r="I13" s="72" t="e">
        <f>#N/A</f>
        <v>#N/A</v>
      </c>
      <c r="J13" s="72" t="e">
        <f>#N/A</f>
        <v>#N/A</v>
      </c>
      <c r="K13" s="74">
        <v>7282.62</v>
      </c>
      <c r="L13" s="74" t="e">
        <f>#N/A</f>
        <v>#N/A</v>
      </c>
      <c r="M13" s="145" t="e">
        <f>#N/A</f>
        <v>#N/A</v>
      </c>
      <c r="N13" s="73" t="e">
        <f>E13-#REF!</f>
        <v>#N/A</v>
      </c>
      <c r="O13" s="98" t="e">
        <f>F13-#REF!</f>
        <v>#REF!</v>
      </c>
      <c r="P13" s="74" t="e">
        <f>#N/A</f>
        <v>#N/A</v>
      </c>
      <c r="Q13" s="108" t="e">
        <f>#N/A</f>
        <v>#N/A</v>
      </c>
      <c r="R13" s="30"/>
      <c r="S13" s="67"/>
      <c r="T13" s="101" t="e">
        <f>#N/A</f>
        <v>#N/A</v>
      </c>
    </row>
    <row r="14" spans="1:22" s="6" customFormat="1" ht="18">
      <c r="A14" s="8"/>
      <c r="B14" s="82" t="s">
        <v>74</v>
      </c>
      <c r="C14" s="70">
        <v>11010900</v>
      </c>
      <c r="D14" s="71">
        <v>3480</v>
      </c>
      <c r="E14" s="71" t="e">
        <f>#N/A</f>
        <v>#N/A</v>
      </c>
      <c r="F14" s="385">
        <v>3120.73</v>
      </c>
      <c r="G14" s="71" t="e">
        <f>#N/A</f>
        <v>#N/A</v>
      </c>
      <c r="H14" s="23" t="e">
        <f>#N/A</f>
        <v>#N/A</v>
      </c>
      <c r="I14" s="72" t="e">
        <f>#N/A</f>
        <v>#N/A</v>
      </c>
      <c r="J14" s="72" t="e">
        <f>#N/A</f>
        <v>#N/A</v>
      </c>
      <c r="K14" s="74">
        <v>9236.82</v>
      </c>
      <c r="L14" s="74" t="e">
        <f>#N/A</f>
        <v>#N/A</v>
      </c>
      <c r="M14" s="145" t="e">
        <f>#N/A</f>
        <v>#N/A</v>
      </c>
      <c r="N14" s="73" t="e">
        <f>E14-#REF!</f>
        <v>#N/A</v>
      </c>
      <c r="O14" s="98" t="e">
        <f>F14-#REF!</f>
        <v>#REF!</v>
      </c>
      <c r="P14" s="74" t="e">
        <f>#N/A</f>
        <v>#N/A</v>
      </c>
      <c r="Q14" s="108" t="e">
        <f>#N/A</f>
        <v>#N/A</v>
      </c>
      <c r="R14" s="30"/>
      <c r="S14" s="67"/>
      <c r="T14" s="101" t="e">
        <f>#N/A</f>
        <v>#N/A</v>
      </c>
      <c r="U14" s="386">
        <v>2880</v>
      </c>
      <c r="V14" s="101"/>
    </row>
    <row r="15" spans="1:20" s="6" customFormat="1" ht="30.75">
      <c r="A15" s="8"/>
      <c r="B15" s="12" t="s">
        <v>11</v>
      </c>
      <c r="C15" s="34">
        <v>11020200</v>
      </c>
      <c r="D15" s="102">
        <v>500</v>
      </c>
      <c r="E15" s="102" t="e">
        <f>#N/A</f>
        <v>#N/A</v>
      </c>
      <c r="F15" s="382">
        <v>459.29</v>
      </c>
      <c r="G15" s="102" t="e">
        <f>#N/A</f>
        <v>#N/A</v>
      </c>
      <c r="H15" s="107" t="e">
        <f>F15/E15*100</f>
        <v>#N/A</v>
      </c>
      <c r="I15" s="108" t="e">
        <f>#N/A</f>
        <v>#N/A</v>
      </c>
      <c r="J15" s="108" t="e">
        <f>#N/A</f>
        <v>#N/A</v>
      </c>
      <c r="K15" s="111">
        <v>-522.93</v>
      </c>
      <c r="L15" s="111" t="e">
        <f>#N/A</f>
        <v>#N/A</v>
      </c>
      <c r="M15" s="146" t="e">
        <f>#N/A</f>
        <v>#N/A</v>
      </c>
      <c r="N15" s="107" t="e">
        <f>E15-#REF!</f>
        <v>#N/A</v>
      </c>
      <c r="O15" s="110" t="e">
        <f>F15-#REF!</f>
        <v>#REF!</v>
      </c>
      <c r="P15" s="111" t="e">
        <f>#N/A</f>
        <v>#N/A</v>
      </c>
      <c r="Q15" s="108" t="e">
        <f>#N/A</f>
        <v>#N/A</v>
      </c>
      <c r="R15" s="30"/>
      <c r="S15" s="67"/>
      <c r="T15" s="101" t="e">
        <f>#N/A</f>
        <v>#N/A</v>
      </c>
    </row>
    <row r="16" spans="1:20" s="6" customFormat="1" ht="18" hidden="1">
      <c r="A16" s="8"/>
      <c r="B16" s="41" t="s">
        <v>54</v>
      </c>
      <c r="C16" s="70">
        <v>11010232</v>
      </c>
      <c r="D16" s="71">
        <v>0</v>
      </c>
      <c r="E16" s="102" t="e">
        <f>#N/A</f>
        <v>#N/A</v>
      </c>
      <c r="F16" s="385">
        <v>0</v>
      </c>
      <c r="G16" s="27" t="e">
        <f>#N/A</f>
        <v>#N/A</v>
      </c>
      <c r="H16" s="23" t="e">
        <f>#N/A</f>
        <v>#N/A</v>
      </c>
      <c r="I16" s="30" t="e">
        <f>#N/A</f>
        <v>#N/A</v>
      </c>
      <c r="J16" s="30" t="e">
        <f>#N/A</f>
        <v>#N/A</v>
      </c>
      <c r="K16" s="74">
        <v>381.9</v>
      </c>
      <c r="L16" s="111" t="e">
        <f>#N/A</f>
        <v>#N/A</v>
      </c>
      <c r="M16" s="146" t="e">
        <f>#N/A</f>
        <v>#N/A</v>
      </c>
      <c r="N16" s="107" t="e">
        <f>E16-#REF!</f>
        <v>#N/A</v>
      </c>
      <c r="O16" s="110" t="e">
        <f>F16-#REF!</f>
        <v>#REF!</v>
      </c>
      <c r="P16" s="29" t="e">
        <f>#N/A</f>
        <v>#N/A</v>
      </c>
      <c r="Q16" s="108" t="e">
        <f>#N/A</f>
        <v>#N/A</v>
      </c>
      <c r="R16" s="72" t="e">
        <f>O16-358.81</f>
        <v>#REF!</v>
      </c>
      <c r="S16" s="75" t="e">
        <f>O16/358.79</f>
        <v>#REF!</v>
      </c>
      <c r="T16" s="101" t="e">
        <f>#N/A</f>
        <v>#N/A</v>
      </c>
    </row>
    <row r="17" spans="1:20" s="6" customFormat="1" ht="30.75">
      <c r="A17" s="8"/>
      <c r="B17" s="35" t="s">
        <v>98</v>
      </c>
      <c r="C17" s="81">
        <v>13010200</v>
      </c>
      <c r="D17" s="112">
        <v>0</v>
      </c>
      <c r="E17" s="102" t="e">
        <f>#N/A</f>
        <v>#N/A</v>
      </c>
      <c r="F17" s="387">
        <v>0.17</v>
      </c>
      <c r="G17" s="112" t="e">
        <f>#N/A</f>
        <v>#N/A</v>
      </c>
      <c r="H17" s="114"/>
      <c r="I17" s="115" t="e">
        <f>#N/A</f>
        <v>#N/A</v>
      </c>
      <c r="J17" s="115"/>
      <c r="K17" s="117">
        <v>0.14</v>
      </c>
      <c r="L17" s="111" t="e">
        <f>#N/A</f>
        <v>#N/A</v>
      </c>
      <c r="M17" s="146" t="e">
        <f>#N/A</f>
        <v>#N/A</v>
      </c>
      <c r="N17" s="107" t="e">
        <f>E17-#REF!</f>
        <v>#N/A</v>
      </c>
      <c r="O17" s="110" t="e">
        <f>F17-#REF!</f>
        <v>#REF!</v>
      </c>
      <c r="P17" s="117" t="e">
        <f>#N/A</f>
        <v>#N/A</v>
      </c>
      <c r="Q17" s="108"/>
      <c r="R17" s="72"/>
      <c r="S17" s="75"/>
      <c r="T17" s="101" t="e">
        <f>#N/A</f>
        <v>#N/A</v>
      </c>
    </row>
    <row r="18" spans="1:20" s="6" customFormat="1" ht="30.75">
      <c r="A18" s="8"/>
      <c r="B18" s="381" t="s">
        <v>99</v>
      </c>
      <c r="C18" s="34">
        <v>13030200</v>
      </c>
      <c r="D18" s="102">
        <v>105.8</v>
      </c>
      <c r="E18" s="102" t="e">
        <f>#N/A</f>
        <v>#N/A</v>
      </c>
      <c r="F18" s="382">
        <v>124.7</v>
      </c>
      <c r="G18" s="102" t="e">
        <f>#N/A</f>
        <v>#N/A</v>
      </c>
      <c r="H18" s="107" t="e">
        <f>#N/A</f>
        <v>#N/A</v>
      </c>
      <c r="I18" s="108" t="e">
        <f>#N/A</f>
        <v>#N/A</v>
      </c>
      <c r="J18" s="108" t="e">
        <f>#N/A</f>
        <v>#N/A</v>
      </c>
      <c r="K18" s="111">
        <v>107.4</v>
      </c>
      <c r="L18" s="111" t="e">
        <f>#N/A</f>
        <v>#N/A</v>
      </c>
      <c r="M18" s="146" t="e">
        <f>#N/A</f>
        <v>#N/A</v>
      </c>
      <c r="N18" s="107" t="e">
        <f>E18-#REF!</f>
        <v>#N/A</v>
      </c>
      <c r="O18" s="110" t="e">
        <f>F18-#REF!</f>
        <v>#REF!</v>
      </c>
      <c r="P18" s="111" t="e">
        <f>#N/A</f>
        <v>#N/A</v>
      </c>
      <c r="Q18" s="108"/>
      <c r="R18" s="30"/>
      <c r="S18" s="67"/>
      <c r="T18" s="101" t="e">
        <f>#N/A</f>
        <v>#N/A</v>
      </c>
    </row>
    <row r="19" spans="1:21" s="6" customFormat="1" ht="46.5">
      <c r="A19" s="8"/>
      <c r="B19" s="35" t="s">
        <v>198</v>
      </c>
      <c r="C19" s="34">
        <v>14040000</v>
      </c>
      <c r="D19" s="102">
        <f>109900-8900</f>
        <v>101000</v>
      </c>
      <c r="E19" s="102" t="e">
        <f>#N/A</f>
        <v>#N/A</v>
      </c>
      <c r="F19" s="382">
        <v>101799.72</v>
      </c>
      <c r="G19" s="102" t="e">
        <f>#N/A</f>
        <v>#N/A</v>
      </c>
      <c r="H19" s="107" t="e">
        <f>#N/A</f>
        <v>#N/A</v>
      </c>
      <c r="I19" s="108" t="e">
        <f>#N/A</f>
        <v>#N/A</v>
      </c>
      <c r="J19" s="108" t="e">
        <f>#N/A</f>
        <v>#N/A</v>
      </c>
      <c r="K19" s="388">
        <v>70426.38</v>
      </c>
      <c r="L19" s="111" t="e">
        <f>#N/A</f>
        <v>#N/A</v>
      </c>
      <c r="M19" s="389" t="e">
        <f>#N/A</f>
        <v>#N/A</v>
      </c>
      <c r="N19" s="107" t="e">
        <f>E19-#REF!</f>
        <v>#N/A</v>
      </c>
      <c r="O19" s="110" t="e">
        <f>F19-#REF!</f>
        <v>#REF!</v>
      </c>
      <c r="P19" s="111" t="e">
        <f>#N/A</f>
        <v>#N/A</v>
      </c>
      <c r="Q19" s="108" t="e">
        <f>#N/A</f>
        <v>#N/A</v>
      </c>
      <c r="R19" s="390"/>
      <c r="S19" s="391"/>
      <c r="T19" s="101" t="e">
        <f>#N/A</f>
        <v>#N/A</v>
      </c>
      <c r="U19" s="6">
        <v>3348</v>
      </c>
    </row>
    <row r="20" spans="1:20" s="6" customFormat="1" ht="18">
      <c r="A20" s="8"/>
      <c r="B20" s="392" t="s">
        <v>60</v>
      </c>
      <c r="C20" s="34">
        <v>18000000</v>
      </c>
      <c r="D20" s="102">
        <f>D21+D30+D32+D29</f>
        <v>336159.65</v>
      </c>
      <c r="E20" s="102" t="e">
        <f>E21+E30+E32+E29</f>
        <v>#N/A</v>
      </c>
      <c r="F20" s="393">
        <f>F21+F29+F30+F31+F32</f>
        <v>340503.51</v>
      </c>
      <c r="G20" s="102" t="e">
        <f>#N/A</f>
        <v>#N/A</v>
      </c>
      <c r="H20" s="107" t="e">
        <f>#N/A</f>
        <v>#N/A</v>
      </c>
      <c r="I20" s="108" t="e">
        <f>#N/A</f>
        <v>#N/A</v>
      </c>
      <c r="J20" s="108" t="e">
        <f>#N/A</f>
        <v>#N/A</v>
      </c>
      <c r="K20" s="108">
        <v>223108.59</v>
      </c>
      <c r="L20" s="111" t="e">
        <f>#N/A</f>
        <v>#N/A</v>
      </c>
      <c r="M20" s="147" t="e">
        <f>#N/A</f>
        <v>#N/A</v>
      </c>
      <c r="N20" s="107" t="e">
        <f>N21+N30+N31+N32</f>
        <v>#N/A</v>
      </c>
      <c r="O20" s="110" t="e">
        <f>F20-#REF!</f>
        <v>#REF!</v>
      </c>
      <c r="P20" s="111" t="e">
        <f>#N/A</f>
        <v>#N/A</v>
      </c>
      <c r="Q20" s="108" t="e">
        <f>#N/A</f>
        <v>#N/A</v>
      </c>
      <c r="R20" s="390"/>
      <c r="S20" s="391"/>
      <c r="T20" s="101" t="e">
        <f>#N/A</f>
        <v>#N/A</v>
      </c>
    </row>
    <row r="21" spans="1:20" s="6" customFormat="1" ht="18">
      <c r="A21" s="8"/>
      <c r="B21" s="35" t="s">
        <v>68</v>
      </c>
      <c r="C21" s="79">
        <v>18010000</v>
      </c>
      <c r="D21" s="102">
        <f>D22+D25+D26</f>
        <v>180544.65</v>
      </c>
      <c r="E21" s="102" t="e">
        <f>E22+E25+E26</f>
        <v>#N/A</v>
      </c>
      <c r="F21" s="394">
        <f>F22+F25+F26</f>
        <v>182295.05000000002</v>
      </c>
      <c r="G21" s="102" t="e">
        <f>#N/A</f>
        <v>#N/A</v>
      </c>
      <c r="H21" s="107" t="e">
        <f>#N/A</f>
        <v>#N/A</v>
      </c>
      <c r="I21" s="108" t="e">
        <f>#N/A</f>
        <v>#N/A</v>
      </c>
      <c r="J21" s="108" t="e">
        <f>#N/A</f>
        <v>#N/A</v>
      </c>
      <c r="K21" s="108">
        <v>119601.42</v>
      </c>
      <c r="L21" s="111" t="e">
        <f>#N/A</f>
        <v>#N/A</v>
      </c>
      <c r="M21" s="147" t="e">
        <f>#N/A</f>
        <v>#N/A</v>
      </c>
      <c r="N21" s="107" t="e">
        <f>N22+N25+N26</f>
        <v>#N/A</v>
      </c>
      <c r="O21" s="110" t="e">
        <f>F21-#REF!</f>
        <v>#REF!</v>
      </c>
      <c r="P21" s="111" t="e">
        <f>#N/A</f>
        <v>#N/A</v>
      </c>
      <c r="Q21" s="108" t="e">
        <f>#N/A</f>
        <v>#N/A</v>
      </c>
      <c r="R21" s="390"/>
      <c r="S21" s="391"/>
      <c r="T21" s="101" t="e">
        <f>#N/A</f>
        <v>#N/A</v>
      </c>
    </row>
    <row r="22" spans="1:21" s="6" customFormat="1" ht="18">
      <c r="A22" s="8"/>
      <c r="B22" s="41" t="s">
        <v>61</v>
      </c>
      <c r="C22" s="84"/>
      <c r="D22" s="119">
        <f>18500+2500</f>
        <v>21000</v>
      </c>
      <c r="E22" s="119" t="e">
        <f>#N/A</f>
        <v>#N/A</v>
      </c>
      <c r="F22" s="395">
        <v>21482.16</v>
      </c>
      <c r="G22" s="119" t="e">
        <f>#N/A</f>
        <v>#N/A</v>
      </c>
      <c r="H22" s="396" t="e">
        <f>#N/A</f>
        <v>#N/A</v>
      </c>
      <c r="I22" s="121" t="e">
        <f>#N/A</f>
        <v>#N/A</v>
      </c>
      <c r="J22" s="121" t="e">
        <f>#N/A</f>
        <v>#N/A</v>
      </c>
      <c r="K22" s="122">
        <v>13340.12</v>
      </c>
      <c r="L22" s="116" t="e">
        <f>#N/A</f>
        <v>#N/A</v>
      </c>
      <c r="M22" s="152" t="e">
        <f>#N/A</f>
        <v>#N/A</v>
      </c>
      <c r="N22" s="396" t="e">
        <f>E22-#REF!</f>
        <v>#N/A</v>
      </c>
      <c r="O22" s="397" t="e">
        <f>F22-#REF!</f>
        <v>#REF!</v>
      </c>
      <c r="P22" s="398" t="e">
        <f>#N/A</f>
        <v>#N/A</v>
      </c>
      <c r="Q22" s="121" t="e">
        <f>#N/A</f>
        <v>#N/A</v>
      </c>
      <c r="R22" s="390"/>
      <c r="S22" s="391"/>
      <c r="T22" s="101" t="e">
        <f>#N/A</f>
        <v>#N/A</v>
      </c>
      <c r="U22" s="101"/>
    </row>
    <row r="23" spans="1:21" s="6" customFormat="1" ht="18">
      <c r="A23" s="8"/>
      <c r="B23" s="137" t="s">
        <v>92</v>
      </c>
      <c r="C23" s="138"/>
      <c r="D23" s="399">
        <v>2000</v>
      </c>
      <c r="E23" s="399" t="e">
        <f>#N/A</f>
        <v>#N/A</v>
      </c>
      <c r="F23" s="387">
        <v>842.7</v>
      </c>
      <c r="G23" s="399" t="e">
        <f>#N/A</f>
        <v>#N/A</v>
      </c>
      <c r="H23" s="139" t="e">
        <f>#N/A</f>
        <v>#N/A</v>
      </c>
      <c r="I23" s="140" t="e">
        <f>#N/A</f>
        <v>#N/A</v>
      </c>
      <c r="J23" s="140" t="e">
        <f>#N/A</f>
        <v>#N/A</v>
      </c>
      <c r="K23" s="140">
        <v>716.11</v>
      </c>
      <c r="L23" s="140" t="e">
        <f>#N/A</f>
        <v>#N/A</v>
      </c>
      <c r="M23" s="162" t="e">
        <f>#N/A</f>
        <v>#N/A</v>
      </c>
      <c r="N23" s="139" t="e">
        <f>E23-#REF!</f>
        <v>#N/A</v>
      </c>
      <c r="O23" s="139" t="e">
        <f>F23-#REF!</f>
        <v>#REF!</v>
      </c>
      <c r="P23" s="140" t="e">
        <f>#N/A</f>
        <v>#N/A</v>
      </c>
      <c r="Q23" s="140" t="e">
        <f>#N/A</f>
        <v>#N/A</v>
      </c>
      <c r="R23" s="390"/>
      <c r="S23" s="391"/>
      <c r="T23" s="101" t="e">
        <f>#N/A</f>
        <v>#N/A</v>
      </c>
      <c r="U23" s="101"/>
    </row>
    <row r="24" spans="1:21" s="6" customFormat="1" ht="18">
      <c r="A24" s="8"/>
      <c r="B24" s="137" t="s">
        <v>93</v>
      </c>
      <c r="C24" s="138"/>
      <c r="D24" s="399">
        <f>16500+2500</f>
        <v>19000</v>
      </c>
      <c r="E24" s="399" t="e">
        <f>#N/A</f>
        <v>#N/A</v>
      </c>
      <c r="F24" s="387">
        <v>20639.46</v>
      </c>
      <c r="G24" s="399" t="e">
        <f>#N/A</f>
        <v>#N/A</v>
      </c>
      <c r="H24" s="139" t="e">
        <f>#N/A</f>
        <v>#N/A</v>
      </c>
      <c r="I24" s="140" t="e">
        <f>#N/A</f>
        <v>#N/A</v>
      </c>
      <c r="J24" s="140" t="e">
        <f>#N/A</f>
        <v>#N/A</v>
      </c>
      <c r="K24" s="140">
        <v>12624.02</v>
      </c>
      <c r="L24" s="140" t="e">
        <f>#N/A</f>
        <v>#N/A</v>
      </c>
      <c r="M24" s="162" t="e">
        <f>#N/A</f>
        <v>#N/A</v>
      </c>
      <c r="N24" s="139" t="e">
        <f>E24-#REF!</f>
        <v>#N/A</v>
      </c>
      <c r="O24" s="139" t="e">
        <f>F24-#REF!</f>
        <v>#REF!</v>
      </c>
      <c r="P24" s="140" t="e">
        <f>#N/A</f>
        <v>#N/A</v>
      </c>
      <c r="Q24" s="140" t="e">
        <f>#N/A</f>
        <v>#N/A</v>
      </c>
      <c r="R24" s="390"/>
      <c r="S24" s="391"/>
      <c r="T24" s="101" t="e">
        <f>#N/A</f>
        <v>#N/A</v>
      </c>
      <c r="U24" s="101"/>
    </row>
    <row r="25" spans="1:20" s="6" customFormat="1" ht="18">
      <c r="A25" s="8"/>
      <c r="B25" s="41" t="s">
        <v>62</v>
      </c>
      <c r="C25" s="84"/>
      <c r="D25" s="119">
        <f>1000-155</f>
        <v>845</v>
      </c>
      <c r="E25" s="119" t="e">
        <f>#N/A</f>
        <v>#N/A</v>
      </c>
      <c r="F25" s="395">
        <v>701.85</v>
      </c>
      <c r="G25" s="119" t="e">
        <f>#N/A</f>
        <v>#N/A</v>
      </c>
      <c r="H25" s="396" t="e">
        <f>#N/A</f>
        <v>#N/A</v>
      </c>
      <c r="I25" s="121" t="e">
        <f>#N/A</f>
        <v>#N/A</v>
      </c>
      <c r="J25" s="121" t="e">
        <f>#N/A</f>
        <v>#N/A</v>
      </c>
      <c r="K25" s="121">
        <v>3879.26</v>
      </c>
      <c r="L25" s="121" t="e">
        <f>#N/A</f>
        <v>#N/A</v>
      </c>
      <c r="M25" s="150" t="e">
        <f>#N/A</f>
        <v>#N/A</v>
      </c>
      <c r="N25" s="396" t="e">
        <f>E25-#REF!</f>
        <v>#N/A</v>
      </c>
      <c r="O25" s="397" t="e">
        <f>F25-#REF!</f>
        <v>#REF!</v>
      </c>
      <c r="P25" s="398" t="e">
        <f>#N/A</f>
        <v>#N/A</v>
      </c>
      <c r="Q25" s="121"/>
      <c r="R25" s="390"/>
      <c r="S25" s="391"/>
      <c r="T25" s="101" t="e">
        <f>#N/A</f>
        <v>#N/A</v>
      </c>
    </row>
    <row r="26" spans="1:20" s="6" customFormat="1" ht="18">
      <c r="A26" s="8"/>
      <c r="B26" s="41" t="s">
        <v>63</v>
      </c>
      <c r="C26" s="84"/>
      <c r="D26" s="119">
        <v>158699.65</v>
      </c>
      <c r="E26" s="119" t="e">
        <f>#N/A</f>
        <v>#N/A</v>
      </c>
      <c r="F26" s="395">
        <v>160111.04</v>
      </c>
      <c r="G26" s="119" t="e">
        <f>#N/A</f>
        <v>#N/A</v>
      </c>
      <c r="H26" s="396" t="e">
        <f>#N/A</f>
        <v>#N/A</v>
      </c>
      <c r="I26" s="121" t="e">
        <f>#N/A</f>
        <v>#N/A</v>
      </c>
      <c r="J26" s="121" t="e">
        <f>#N/A</f>
        <v>#N/A</v>
      </c>
      <c r="K26" s="122">
        <v>102382.03</v>
      </c>
      <c r="L26" s="122" t="e">
        <f>#N/A</f>
        <v>#N/A</v>
      </c>
      <c r="M26" s="149" t="e">
        <f>#N/A</f>
        <v>#N/A</v>
      </c>
      <c r="N26" s="396" t="e">
        <f>E26-#REF!</f>
        <v>#N/A</v>
      </c>
      <c r="O26" s="397" t="e">
        <f>F26-#REF!</f>
        <v>#REF!</v>
      </c>
      <c r="P26" s="398" t="e">
        <f>#N/A</f>
        <v>#N/A</v>
      </c>
      <c r="Q26" s="121" t="e">
        <f>O26/N26*100</f>
        <v>#REF!</v>
      </c>
      <c r="R26" s="390"/>
      <c r="S26" s="391"/>
      <c r="T26" s="101" t="e">
        <f>#N/A</f>
        <v>#N/A</v>
      </c>
    </row>
    <row r="27" spans="1:20" s="6" customFormat="1" ht="18">
      <c r="A27" s="8"/>
      <c r="B27" s="137" t="s">
        <v>94</v>
      </c>
      <c r="C27" s="138"/>
      <c r="D27" s="399">
        <f>47367+1218+1182</f>
        <v>49767</v>
      </c>
      <c r="E27" s="399" t="e">
        <f>#N/A</f>
        <v>#N/A</v>
      </c>
      <c r="F27" s="387">
        <v>49911.97</v>
      </c>
      <c r="G27" s="399" t="e">
        <f>#N/A</f>
        <v>#N/A</v>
      </c>
      <c r="H27" s="139" t="e">
        <f>#N/A</f>
        <v>#N/A</v>
      </c>
      <c r="I27" s="140" t="e">
        <f>#N/A</f>
        <v>#N/A</v>
      </c>
      <c r="J27" s="140" t="e">
        <f>#N/A</f>
        <v>#N/A</v>
      </c>
      <c r="K27" s="140">
        <v>27811.39</v>
      </c>
      <c r="L27" s="140" t="e">
        <f>#N/A</f>
        <v>#N/A</v>
      </c>
      <c r="M27" s="162" t="e">
        <f>#N/A</f>
        <v>#N/A</v>
      </c>
      <c r="N27" s="139" t="e">
        <f>E27-#REF!</f>
        <v>#N/A</v>
      </c>
      <c r="O27" s="139" t="e">
        <f>F27-#REF!</f>
        <v>#REF!</v>
      </c>
      <c r="P27" s="140" t="e">
        <f>#N/A</f>
        <v>#N/A</v>
      </c>
      <c r="Q27" s="140" t="e">
        <f>O27/N27*100</f>
        <v>#REF!</v>
      </c>
      <c r="R27" s="390"/>
      <c r="S27" s="391"/>
      <c r="T27" s="101" t="e">
        <f>#N/A</f>
        <v>#N/A</v>
      </c>
    </row>
    <row r="28" spans="1:20" s="6" customFormat="1" ht="18">
      <c r="A28" s="8"/>
      <c r="B28" s="137" t="s">
        <v>95</v>
      </c>
      <c r="C28" s="138"/>
      <c r="D28" s="399">
        <f>108032.65+200+700</f>
        <v>108932.65</v>
      </c>
      <c r="E28" s="399" t="e">
        <f>#N/A</f>
        <v>#N/A</v>
      </c>
      <c r="F28" s="387">
        <v>110199.06</v>
      </c>
      <c r="G28" s="399" t="e">
        <f>#N/A</f>
        <v>#N/A</v>
      </c>
      <c r="H28" s="139" t="e">
        <f>#N/A</f>
        <v>#N/A</v>
      </c>
      <c r="I28" s="140" t="e">
        <f>#N/A</f>
        <v>#N/A</v>
      </c>
      <c r="J28" s="140" t="e">
        <f>#N/A</f>
        <v>#N/A</v>
      </c>
      <c r="K28" s="140">
        <v>74570.64</v>
      </c>
      <c r="L28" s="140" t="e">
        <f>#N/A</f>
        <v>#N/A</v>
      </c>
      <c r="M28" s="162" t="e">
        <f>#N/A</f>
        <v>#N/A</v>
      </c>
      <c r="N28" s="139" t="e">
        <f>E28-#REF!</f>
        <v>#N/A</v>
      </c>
      <c r="O28" s="139" t="e">
        <f>F28-#REF!</f>
        <v>#REF!</v>
      </c>
      <c r="P28" s="140" t="e">
        <f>#N/A</f>
        <v>#N/A</v>
      </c>
      <c r="Q28" s="140" t="e">
        <f>O28/N28*100</f>
        <v>#REF!</v>
      </c>
      <c r="R28" s="390"/>
      <c r="S28" s="391"/>
      <c r="T28" s="101" t="e">
        <f>#N/A</f>
        <v>#N/A</v>
      </c>
    </row>
    <row r="29" spans="1:20" s="6" customFormat="1" ht="18">
      <c r="A29" s="8"/>
      <c r="B29" s="35" t="s">
        <v>97</v>
      </c>
      <c r="C29" s="157">
        <v>18020000</v>
      </c>
      <c r="D29" s="112">
        <v>0</v>
      </c>
      <c r="E29" s="112" t="e">
        <f>#N/A</f>
        <v>#N/A</v>
      </c>
      <c r="F29" s="400">
        <v>0.15</v>
      </c>
      <c r="G29" s="102" t="e">
        <f>#N/A</f>
        <v>#N/A</v>
      </c>
      <c r="H29" s="107"/>
      <c r="I29" s="108" t="e">
        <f>#N/A</f>
        <v>#N/A</v>
      </c>
      <c r="J29" s="108"/>
      <c r="K29" s="117">
        <v>0</v>
      </c>
      <c r="L29" s="108" t="e">
        <f>#N/A</f>
        <v>#N/A</v>
      </c>
      <c r="M29" s="148"/>
      <c r="N29" s="107" t="e">
        <f>E29-#REF!</f>
        <v>#N/A</v>
      </c>
      <c r="O29" s="110" t="e">
        <f>F29-#REF!</f>
        <v>#REF!</v>
      </c>
      <c r="P29" s="111" t="e">
        <f>#N/A</f>
        <v>#N/A</v>
      </c>
      <c r="Q29" s="108"/>
      <c r="R29" s="390"/>
      <c r="S29" s="391"/>
      <c r="T29" s="101" t="e">
        <f>#N/A</f>
        <v>#N/A</v>
      </c>
    </row>
    <row r="30" spans="1:20" s="6" customFormat="1" ht="18">
      <c r="A30" s="8"/>
      <c r="B30" s="35" t="s">
        <v>69</v>
      </c>
      <c r="C30" s="79">
        <v>18030000</v>
      </c>
      <c r="D30" s="102">
        <f>77+38</f>
        <v>115</v>
      </c>
      <c r="E30" s="102" t="e">
        <f>#N/A</f>
        <v>#N/A</v>
      </c>
      <c r="F30" s="382">
        <v>117.68</v>
      </c>
      <c r="G30" s="102" t="e">
        <f>#N/A</f>
        <v>#N/A</v>
      </c>
      <c r="H30" s="107" t="e">
        <f>#N/A</f>
        <v>#N/A</v>
      </c>
      <c r="I30" s="108" t="e">
        <f>#N/A</f>
        <v>#N/A</v>
      </c>
      <c r="J30" s="108" t="e">
        <f>#N/A</f>
        <v>#N/A</v>
      </c>
      <c r="K30" s="108">
        <v>76.57</v>
      </c>
      <c r="L30" s="108" t="e">
        <f>#N/A</f>
        <v>#N/A</v>
      </c>
      <c r="M30" s="148">
        <f>F30/K30</f>
        <v>1.536894345043751</v>
      </c>
      <c r="N30" s="107" t="e">
        <f>E30-#REF!</f>
        <v>#N/A</v>
      </c>
      <c r="O30" s="110" t="e">
        <f>F30-#REF!</f>
        <v>#REF!</v>
      </c>
      <c r="P30" s="111" t="e">
        <f>#N/A</f>
        <v>#N/A</v>
      </c>
      <c r="Q30" s="108" t="e">
        <f>O30/N30*100</f>
        <v>#REF!</v>
      </c>
      <c r="R30" s="390"/>
      <c r="S30" s="391"/>
      <c r="T30" s="101" t="e">
        <f>#N/A</f>
        <v>#N/A</v>
      </c>
    </row>
    <row r="31" spans="1:20" s="6" customFormat="1" ht="49.5" customHeight="1">
      <c r="A31" s="8"/>
      <c r="B31" s="35" t="s">
        <v>70</v>
      </c>
      <c r="C31" s="79">
        <v>18040000</v>
      </c>
      <c r="D31" s="102"/>
      <c r="E31" s="102"/>
      <c r="F31" s="382">
        <v>-177.97</v>
      </c>
      <c r="G31" s="102" t="e">
        <f>#N/A</f>
        <v>#N/A</v>
      </c>
      <c r="H31" s="107"/>
      <c r="I31" s="108" t="e">
        <f>#N/A</f>
        <v>#N/A</v>
      </c>
      <c r="J31" s="108"/>
      <c r="K31" s="108">
        <v>-838.98</v>
      </c>
      <c r="L31" s="108" t="e">
        <f>#N/A</f>
        <v>#N/A</v>
      </c>
      <c r="M31" s="148">
        <f>F31/K31</f>
        <v>0.21212662995542206</v>
      </c>
      <c r="N31" s="107" t="e">
        <f>E31-#REF!</f>
        <v>#REF!</v>
      </c>
      <c r="O31" s="110" t="e">
        <f>F31-#REF!</f>
        <v>#REF!</v>
      </c>
      <c r="P31" s="111" t="e">
        <f>#N/A</f>
        <v>#N/A</v>
      </c>
      <c r="Q31" s="108"/>
      <c r="R31" s="390"/>
      <c r="S31" s="391"/>
      <c r="T31" s="101" t="e">
        <f>#N/A</f>
        <v>#N/A</v>
      </c>
    </row>
    <row r="32" spans="1:20" s="6" customFormat="1" ht="18">
      <c r="A32" s="8"/>
      <c r="B32" s="35" t="s">
        <v>71</v>
      </c>
      <c r="C32" s="79">
        <v>18050000</v>
      </c>
      <c r="D32" s="112">
        <f>118000+23000+4100+10400</f>
        <v>155500</v>
      </c>
      <c r="E32" s="112">
        <f>D32</f>
        <v>155500</v>
      </c>
      <c r="F32" s="387">
        <v>158268.6</v>
      </c>
      <c r="G32" s="112" t="e">
        <f>#N/A</f>
        <v>#N/A</v>
      </c>
      <c r="H32" s="114" t="e">
        <f>#N/A</f>
        <v>#N/A</v>
      </c>
      <c r="I32" s="115" t="e">
        <f>#N/A</f>
        <v>#N/A</v>
      </c>
      <c r="J32" s="115" t="e">
        <f>#N/A</f>
        <v>#N/A</v>
      </c>
      <c r="K32" s="123">
        <v>104269.58</v>
      </c>
      <c r="L32" s="123">
        <f>F32-K32</f>
        <v>53999.020000000004</v>
      </c>
      <c r="M32" s="160">
        <f>F32/K32</f>
        <v>1.5178789441752811</v>
      </c>
      <c r="N32" s="107" t="e">
        <f>E32-#REF!</f>
        <v>#REF!</v>
      </c>
      <c r="O32" s="110" t="e">
        <f>F32-#REF!</f>
        <v>#REF!</v>
      </c>
      <c r="P32" s="117" t="e">
        <f>#N/A</f>
        <v>#N/A</v>
      </c>
      <c r="Q32" s="115" t="e">
        <f>O32/N32*100</f>
        <v>#REF!</v>
      </c>
      <c r="R32" s="390"/>
      <c r="S32" s="391"/>
      <c r="T32" s="101" t="e">
        <f>#N/A</f>
        <v>#N/A</v>
      </c>
    </row>
    <row r="33" spans="1:20" s="6" customFormat="1" ht="15">
      <c r="A33" s="8"/>
      <c r="B33" s="41" t="s">
        <v>77</v>
      </c>
      <c r="C33" s="70">
        <v>18050200</v>
      </c>
      <c r="D33" s="71">
        <v>0</v>
      </c>
      <c r="E33" s="71">
        <f>D33</f>
        <v>0</v>
      </c>
      <c r="F33" s="385">
        <v>0.23</v>
      </c>
      <c r="G33" s="71" t="e">
        <f>#N/A</f>
        <v>#N/A</v>
      </c>
      <c r="H33" s="73"/>
      <c r="I33" s="72" t="e">
        <f>#N/A</f>
        <v>#N/A</v>
      </c>
      <c r="J33" s="72"/>
      <c r="K33" s="85">
        <v>-1.15</v>
      </c>
      <c r="L33" s="85" t="e">
        <f>#N/A</f>
        <v>#N/A</v>
      </c>
      <c r="M33" s="153" t="e">
        <f>#N/A</f>
        <v>#N/A</v>
      </c>
      <c r="N33" s="73" t="e">
        <f>E33-#REF!</f>
        <v>#REF!</v>
      </c>
      <c r="O33" s="98" t="e">
        <f>F33-#REF!</f>
        <v>#REF!</v>
      </c>
      <c r="P33" s="74" t="e">
        <f>#N/A</f>
        <v>#N/A</v>
      </c>
      <c r="Q33" s="72"/>
      <c r="R33" s="390"/>
      <c r="S33" s="391"/>
      <c r="T33" s="101" t="e">
        <f>#N/A</f>
        <v>#N/A</v>
      </c>
    </row>
    <row r="34" spans="1:20" s="6" customFormat="1" ht="15">
      <c r="A34" s="8"/>
      <c r="B34" s="41" t="s">
        <v>78</v>
      </c>
      <c r="C34" s="70">
        <v>18050300</v>
      </c>
      <c r="D34" s="71">
        <f>28217+6000+4100</f>
        <v>38317</v>
      </c>
      <c r="E34" s="71">
        <f>D34</f>
        <v>38317</v>
      </c>
      <c r="F34" s="385">
        <v>39173.72</v>
      </c>
      <c r="G34" s="71" t="e">
        <f>#N/A</f>
        <v>#N/A</v>
      </c>
      <c r="H34" s="73" t="e">
        <f>#N/A</f>
        <v>#N/A</v>
      </c>
      <c r="I34" s="72" t="e">
        <f>#N/A</f>
        <v>#N/A</v>
      </c>
      <c r="J34" s="72" t="e">
        <f>#N/A</f>
        <v>#N/A</v>
      </c>
      <c r="K34" s="85">
        <v>24618.58</v>
      </c>
      <c r="L34" s="85" t="e">
        <f>#N/A</f>
        <v>#N/A</v>
      </c>
      <c r="M34" s="153" t="e">
        <f>#N/A</f>
        <v>#N/A</v>
      </c>
      <c r="N34" s="73" t="e">
        <f>E34-#REF!</f>
        <v>#REF!</v>
      </c>
      <c r="O34" s="98" t="e">
        <f>F34-#REF!</f>
        <v>#REF!</v>
      </c>
      <c r="P34" s="74" t="e">
        <f>#N/A</f>
        <v>#N/A</v>
      </c>
      <c r="Q34" s="72" t="e">
        <f>O34/N34*100</f>
        <v>#REF!</v>
      </c>
      <c r="R34" s="390"/>
      <c r="S34" s="391"/>
      <c r="T34" s="101" t="e">
        <f>#N/A</f>
        <v>#N/A</v>
      </c>
    </row>
    <row r="35" spans="1:20" s="6" customFormat="1" ht="15">
      <c r="A35" s="8"/>
      <c r="B35" s="41" t="s">
        <v>79</v>
      </c>
      <c r="C35" s="70">
        <v>18050400</v>
      </c>
      <c r="D35" s="71">
        <f>89732+17000+10400</f>
        <v>117132</v>
      </c>
      <c r="E35" s="71">
        <f>D35</f>
        <v>117132</v>
      </c>
      <c r="F35" s="385">
        <v>119039.46</v>
      </c>
      <c r="G35" s="71" t="e">
        <f>#N/A</f>
        <v>#N/A</v>
      </c>
      <c r="H35" s="73" t="e">
        <f>#N/A</f>
        <v>#N/A</v>
      </c>
      <c r="I35" s="72" t="e">
        <f>#N/A</f>
        <v>#N/A</v>
      </c>
      <c r="J35" s="72" t="e">
        <f>#N/A</f>
        <v>#N/A</v>
      </c>
      <c r="K35" s="85">
        <v>79616.02</v>
      </c>
      <c r="L35" s="85" t="e">
        <f>#N/A</f>
        <v>#N/A</v>
      </c>
      <c r="M35" s="153" t="e">
        <f>#N/A</f>
        <v>#N/A</v>
      </c>
      <c r="N35" s="73" t="e">
        <f>E35-#REF!</f>
        <v>#REF!</v>
      </c>
      <c r="O35" s="98" t="e">
        <f>F35-#REF!</f>
        <v>#REF!</v>
      </c>
      <c r="P35" s="74" t="e">
        <f>#N/A</f>
        <v>#N/A</v>
      </c>
      <c r="Q35" s="72" t="e">
        <f>O35/N35*100</f>
        <v>#REF!</v>
      </c>
      <c r="R35" s="390"/>
      <c r="S35" s="391"/>
      <c r="T35" s="101" t="e">
        <f>#N/A</f>
        <v>#N/A</v>
      </c>
    </row>
    <row r="36" spans="1:20" s="6" customFormat="1" ht="15">
      <c r="A36" s="8"/>
      <c r="B36" s="41" t="s">
        <v>80</v>
      </c>
      <c r="C36" s="70">
        <v>18050500</v>
      </c>
      <c r="D36" s="71">
        <v>51</v>
      </c>
      <c r="E36" s="71">
        <f>D36</f>
        <v>51</v>
      </c>
      <c r="F36" s="385">
        <v>55.18</v>
      </c>
      <c r="G36" s="71" t="e">
        <f>#N/A</f>
        <v>#N/A</v>
      </c>
      <c r="H36" s="73" t="e">
        <f>#N/A</f>
        <v>#N/A</v>
      </c>
      <c r="I36" s="72" t="e">
        <f>#N/A</f>
        <v>#N/A</v>
      </c>
      <c r="J36" s="72" t="e">
        <f>#N/A</f>
        <v>#N/A</v>
      </c>
      <c r="K36" s="85">
        <v>36.13</v>
      </c>
      <c r="L36" s="85" t="e">
        <f>#N/A</f>
        <v>#N/A</v>
      </c>
      <c r="M36" s="153" t="e">
        <f>#N/A</f>
        <v>#N/A</v>
      </c>
      <c r="N36" s="73" t="e">
        <f>E36-#REF!</f>
        <v>#REF!</v>
      </c>
      <c r="O36" s="98" t="e">
        <f>F36-#REF!</f>
        <v>#REF!</v>
      </c>
      <c r="P36" s="74" t="e">
        <f>#N/A</f>
        <v>#N/A</v>
      </c>
      <c r="Q36" s="72"/>
      <c r="R36" s="390"/>
      <c r="S36" s="391"/>
      <c r="T36" s="101" t="e">
        <f>#N/A</f>
        <v>#N/A</v>
      </c>
    </row>
    <row r="37" spans="1:20" s="6" customFormat="1" ht="15" customHeight="1">
      <c r="A37" s="8"/>
      <c r="B37" s="35" t="s">
        <v>41</v>
      </c>
      <c r="C37" s="34">
        <v>19010000</v>
      </c>
      <c r="D37" s="27">
        <v>0</v>
      </c>
      <c r="E37" s="27">
        <v>0</v>
      </c>
      <c r="F37" s="401">
        <v>0</v>
      </c>
      <c r="G37" s="27" t="e">
        <f>#N/A</f>
        <v>#N/A</v>
      </c>
      <c r="H37" s="23"/>
      <c r="I37" s="30" t="e">
        <f>#N/A</f>
        <v>#N/A</v>
      </c>
      <c r="J37" s="30"/>
      <c r="K37" s="80">
        <v>6768.9</v>
      </c>
      <c r="L37" s="80" t="e">
        <f>#N/A</f>
        <v>#N/A</v>
      </c>
      <c r="M37" s="154" t="e">
        <f>#N/A</f>
        <v>#N/A</v>
      </c>
      <c r="N37" s="91" t="e">
        <f>E37-#REF!</f>
        <v>#REF!</v>
      </c>
      <c r="O37" s="99" t="e">
        <f>F37-#REF!</f>
        <v>#REF!</v>
      </c>
      <c r="P37" s="29" t="e">
        <f>#N/A</f>
        <v>#N/A</v>
      </c>
      <c r="Q37" s="30"/>
      <c r="R37" s="390"/>
      <c r="S37" s="391"/>
      <c r="T37" s="101" t="e">
        <f>#N/A</f>
        <v>#N/A</v>
      </c>
    </row>
    <row r="38" spans="1:20" s="6" customFormat="1" ht="17.25">
      <c r="A38" s="7"/>
      <c r="B38" s="15" t="s">
        <v>12</v>
      </c>
      <c r="C38" s="55">
        <v>20000000</v>
      </c>
      <c r="D38" s="103">
        <f>D39+D40+D41+D42+D43+D45+D47+D48+D49+D50+D51+D56+D57+D61+D44</f>
        <v>67352.08</v>
      </c>
      <c r="E38" s="103" t="e">
        <f>E39+E40+E41+E42+E43+E45+E47+E48+E49+E50+E51+E56+E57+E61+E44</f>
        <v>#N/A</v>
      </c>
      <c r="F38" s="173">
        <f>F39+F40+F41+F42+F43+F45+F47+F48+F49+F50+F51+F56+F57+F61+F44</f>
        <v>68752.68</v>
      </c>
      <c r="G38" s="103" t="e">
        <f>G39+G40+G41+G42+G43+G45+G47+G48+G49+G50+G51+G56+G57+G61</f>
        <v>#N/A</v>
      </c>
      <c r="H38" s="380" t="e">
        <f>F38/E38*100</f>
        <v>#N/A</v>
      </c>
      <c r="I38" s="104">
        <f>F38-D38</f>
        <v>1400.5999999999913</v>
      </c>
      <c r="J38" s="104">
        <f>F38/D38*100</f>
        <v>102.07952003857935</v>
      </c>
      <c r="K38" s="103">
        <v>50680.75</v>
      </c>
      <c r="L38" s="103" t="e">
        <f>#N/A</f>
        <v>#N/A</v>
      </c>
      <c r="M38" s="143" t="e">
        <f>#N/A</f>
        <v>#N/A</v>
      </c>
      <c r="N38" s="103" t="e">
        <f>N39+N40+N41+N42+N43+N45+N47+N48+N49+N50+N51+N56+N57+N61+N44</f>
        <v>#N/A</v>
      </c>
      <c r="O38" s="103" t="e">
        <f>O39+O40+O41+O42+O43+O45+O47+O48+O49+O50+O51+O56+O57+O61+O44</f>
        <v>#REF!</v>
      </c>
      <c r="P38" s="103" t="e">
        <f>P39+P40+P41+P42+P43+P45+P47+P48+P49+P50+P51+P56+P57+P61</f>
        <v>#REF!</v>
      </c>
      <c r="Q38" s="103" t="e">
        <f>O38/N38*100</f>
        <v>#REF!</v>
      </c>
      <c r="R38" s="14" t="e">
        <f>#N/A</f>
        <v>#N/A</v>
      </c>
      <c r="S38" s="14" t="e">
        <f>#N/A</f>
        <v>#N/A</v>
      </c>
      <c r="T38" s="101" t="e">
        <f>#N/A</f>
        <v>#N/A</v>
      </c>
    </row>
    <row r="39" spans="1:20" s="6" customFormat="1" ht="46.5">
      <c r="A39" s="8"/>
      <c r="B39" s="35" t="s">
        <v>85</v>
      </c>
      <c r="C39" s="34">
        <v>21010301</v>
      </c>
      <c r="D39" s="102">
        <f>400+150</f>
        <v>550</v>
      </c>
      <c r="E39" s="102" t="e">
        <f>#N/A</f>
        <v>#N/A</v>
      </c>
      <c r="F39" s="382">
        <v>551.04</v>
      </c>
      <c r="G39" s="112" t="e">
        <f>F39-E39</f>
        <v>#N/A</v>
      </c>
      <c r="H39" s="114" t="e">
        <f>#N/A</f>
        <v>#N/A</v>
      </c>
      <c r="I39" s="115">
        <f>F39-D39</f>
        <v>1.0399999999999636</v>
      </c>
      <c r="J39" s="115">
        <f>F39/D39*100</f>
        <v>100.1890909090909</v>
      </c>
      <c r="K39" s="115">
        <v>0.55</v>
      </c>
      <c r="L39" s="115" t="e">
        <f>#N/A</f>
        <v>#N/A</v>
      </c>
      <c r="M39" s="155" t="e">
        <f>#N/A</f>
        <v>#N/A</v>
      </c>
      <c r="N39" s="114" t="e">
        <f>E39-#REF!</f>
        <v>#N/A</v>
      </c>
      <c r="O39" s="118" t="e">
        <f>F39-#REF!</f>
        <v>#REF!</v>
      </c>
      <c r="P39" s="117" t="e">
        <f>O39-N39</f>
        <v>#REF!</v>
      </c>
      <c r="Q39" s="115" t="e">
        <f>#N/A</f>
        <v>#N/A</v>
      </c>
      <c r="R39" s="30"/>
      <c r="S39" s="67"/>
      <c r="T39" s="101" t="e">
        <f>#N/A</f>
        <v>#N/A</v>
      </c>
    </row>
    <row r="40" spans="1:20" s="6" customFormat="1" ht="30.75">
      <c r="A40" s="8"/>
      <c r="B40" s="87" t="s">
        <v>64</v>
      </c>
      <c r="C40" s="33">
        <v>21050000</v>
      </c>
      <c r="D40" s="102">
        <f>25000+5007+5593</f>
        <v>35600</v>
      </c>
      <c r="E40" s="102" t="e">
        <f>#N/A</f>
        <v>#N/A</v>
      </c>
      <c r="F40" s="382">
        <v>36136.57</v>
      </c>
      <c r="G40" s="112" t="e">
        <f>#N/A</f>
        <v>#N/A</v>
      </c>
      <c r="H40" s="114" t="e">
        <f>#N/A</f>
        <v>#N/A</v>
      </c>
      <c r="I40" s="115" t="e">
        <f>#N/A</f>
        <v>#N/A</v>
      </c>
      <c r="J40" s="115">
        <f>F40/D40*100</f>
        <v>101.5072191011236</v>
      </c>
      <c r="K40" s="115">
        <v>19275.42</v>
      </c>
      <c r="L40" s="115" t="e">
        <f>#N/A</f>
        <v>#N/A</v>
      </c>
      <c r="M40" s="155"/>
      <c r="N40" s="114" t="e">
        <f>E40-#REF!</f>
        <v>#N/A</v>
      </c>
      <c r="O40" s="118" t="e">
        <f>F40-#REF!</f>
        <v>#REF!</v>
      </c>
      <c r="P40" s="117" t="e">
        <f>#N/A</f>
        <v>#N/A</v>
      </c>
      <c r="Q40" s="115" t="e">
        <f>#N/A</f>
        <v>#N/A</v>
      </c>
      <c r="R40" s="30"/>
      <c r="S40" s="67"/>
      <c r="T40" s="101" t="e">
        <f>#N/A</f>
        <v>#N/A</v>
      </c>
    </row>
    <row r="41" spans="1:20" s="6" customFormat="1" ht="18">
      <c r="A41" s="8"/>
      <c r="B41" s="87" t="s">
        <v>51</v>
      </c>
      <c r="C41" s="33">
        <v>21080500</v>
      </c>
      <c r="D41" s="102">
        <f>111.44-80.4</f>
        <v>31.039999999999992</v>
      </c>
      <c r="E41" s="102" t="e">
        <f>#N/A</f>
        <v>#N/A</v>
      </c>
      <c r="F41" s="382">
        <v>31.98</v>
      </c>
      <c r="G41" s="112" t="e">
        <f>#N/A</f>
        <v>#N/A</v>
      </c>
      <c r="H41" s="114" t="e">
        <f>#N/A</f>
        <v>#N/A</v>
      </c>
      <c r="I41" s="115" t="e">
        <f>#N/A</f>
        <v>#N/A</v>
      </c>
      <c r="J41" s="115" t="e">
        <f>#N/A</f>
        <v>#N/A</v>
      </c>
      <c r="K41" s="115">
        <v>445.64</v>
      </c>
      <c r="L41" s="115" t="e">
        <f>#N/A</f>
        <v>#N/A</v>
      </c>
      <c r="M41" s="155" t="e">
        <f>#N/A</f>
        <v>#N/A</v>
      </c>
      <c r="N41" s="114" t="e">
        <f>E41-#REF!</f>
        <v>#N/A</v>
      </c>
      <c r="O41" s="118" t="e">
        <f>F41-#REF!</f>
        <v>#REF!</v>
      </c>
      <c r="P41" s="117" t="e">
        <f>#N/A</f>
        <v>#N/A</v>
      </c>
      <c r="Q41" s="115"/>
      <c r="R41" s="30"/>
      <c r="S41" s="67"/>
      <c r="T41" s="101" t="e">
        <f>#N/A</f>
        <v>#N/A</v>
      </c>
    </row>
    <row r="42" spans="1:20" s="6" customFormat="1" ht="31.5">
      <c r="A42" s="8"/>
      <c r="B42" s="402" t="s">
        <v>34</v>
      </c>
      <c r="C42" s="56">
        <v>21080900</v>
      </c>
      <c r="D42" s="102">
        <f>6.5-6.5</f>
        <v>0</v>
      </c>
      <c r="E42" s="102" t="e">
        <f>#N/A</f>
        <v>#N/A</v>
      </c>
      <c r="F42" s="382">
        <v>0.1</v>
      </c>
      <c r="G42" s="112" t="e">
        <f>#N/A</f>
        <v>#N/A</v>
      </c>
      <c r="H42" s="114"/>
      <c r="I42" s="115" t="e">
        <f>#N/A</f>
        <v>#N/A</v>
      </c>
      <c r="J42" s="115"/>
      <c r="K42" s="115">
        <v>1.02</v>
      </c>
      <c r="L42" s="115" t="e">
        <f>#N/A</f>
        <v>#N/A</v>
      </c>
      <c r="M42" s="155" t="e">
        <f>#N/A</f>
        <v>#N/A</v>
      </c>
      <c r="N42" s="114" t="e">
        <f>E42-#REF!</f>
        <v>#N/A</v>
      </c>
      <c r="O42" s="118" t="e">
        <f>F42-#REF!</f>
        <v>#REF!</v>
      </c>
      <c r="P42" s="117" t="e">
        <f>#N/A</f>
        <v>#N/A</v>
      </c>
      <c r="Q42" s="115"/>
      <c r="R42" s="30"/>
      <c r="S42" s="67"/>
      <c r="T42" s="101" t="e">
        <f>#N/A</f>
        <v>#N/A</v>
      </c>
    </row>
    <row r="43" spans="1:20" s="6" customFormat="1" ht="18">
      <c r="A43" s="8"/>
      <c r="B43" s="88" t="s">
        <v>16</v>
      </c>
      <c r="C43" s="57">
        <v>21081100</v>
      </c>
      <c r="D43" s="102">
        <f>150+77</f>
        <v>227</v>
      </c>
      <c r="E43" s="102" t="e">
        <f>#N/A</f>
        <v>#N/A</v>
      </c>
      <c r="F43" s="382">
        <v>241.07</v>
      </c>
      <c r="G43" s="112" t="e">
        <f>#N/A</f>
        <v>#N/A</v>
      </c>
      <c r="H43" s="114" t="e">
        <f>#N/A</f>
        <v>#N/A</v>
      </c>
      <c r="I43" s="115" t="e">
        <f>#N/A</f>
        <v>#N/A</v>
      </c>
      <c r="J43" s="115" t="e">
        <f>#N/A</f>
        <v>#N/A</v>
      </c>
      <c r="K43" s="115">
        <v>126.46</v>
      </c>
      <c r="L43" s="115" t="e">
        <f>#N/A</f>
        <v>#N/A</v>
      </c>
      <c r="M43" s="155" t="e">
        <f>#N/A</f>
        <v>#N/A</v>
      </c>
      <c r="N43" s="114" t="e">
        <f>E43-#REF!</f>
        <v>#N/A</v>
      </c>
      <c r="O43" s="118" t="e">
        <f>F43-#REF!</f>
        <v>#REF!</v>
      </c>
      <c r="P43" s="117" t="e">
        <f>#N/A</f>
        <v>#N/A</v>
      </c>
      <c r="Q43" s="115" t="e">
        <f>#N/A</f>
        <v>#N/A</v>
      </c>
      <c r="R43" s="30"/>
      <c r="S43" s="67"/>
      <c r="T43" s="101" t="e">
        <f>#N/A</f>
        <v>#N/A</v>
      </c>
    </row>
    <row r="44" spans="1:20" s="6" customFormat="1" ht="46.5">
      <c r="A44" s="8"/>
      <c r="B44" s="88" t="s">
        <v>67</v>
      </c>
      <c r="C44" s="57">
        <v>21081500</v>
      </c>
      <c r="D44" s="102">
        <f>14+71</f>
        <v>85</v>
      </c>
      <c r="E44" s="102" t="e">
        <f>#N/A</f>
        <v>#N/A</v>
      </c>
      <c r="F44" s="382">
        <v>86.37</v>
      </c>
      <c r="G44" s="112" t="e">
        <f>#N/A</f>
        <v>#N/A</v>
      </c>
      <c r="H44" s="114"/>
      <c r="I44" s="115" t="e">
        <f>#N/A</f>
        <v>#N/A</v>
      </c>
      <c r="J44" s="115"/>
      <c r="K44" s="115">
        <v>0</v>
      </c>
      <c r="L44" s="115" t="e">
        <f>#N/A</f>
        <v>#N/A</v>
      </c>
      <c r="M44" s="155"/>
      <c r="N44" s="114" t="e">
        <f>E44-#REF!</f>
        <v>#N/A</v>
      </c>
      <c r="O44" s="118" t="e">
        <f>F44-#REF!</f>
        <v>#REF!</v>
      </c>
      <c r="P44" s="117"/>
      <c r="Q44" s="115"/>
      <c r="R44" s="30"/>
      <c r="S44" s="67"/>
      <c r="T44" s="101" t="e">
        <f>#N/A</f>
        <v>#N/A</v>
      </c>
    </row>
    <row r="45" spans="1:20" s="6" customFormat="1" ht="30.75">
      <c r="A45" s="8"/>
      <c r="B45" s="403" t="s">
        <v>89</v>
      </c>
      <c r="C45" s="40">
        <v>22010300</v>
      </c>
      <c r="D45" s="102">
        <f>300+400</f>
        <v>700</v>
      </c>
      <c r="E45" s="102" t="e">
        <f>#N/A</f>
        <v>#N/A</v>
      </c>
      <c r="F45" s="382">
        <v>791.33</v>
      </c>
      <c r="G45" s="112" t="e">
        <f>#N/A</f>
        <v>#N/A</v>
      </c>
      <c r="H45" s="114" t="e">
        <f>#N/A</f>
        <v>#N/A</v>
      </c>
      <c r="I45" s="115" t="e">
        <f>#N/A</f>
        <v>#N/A</v>
      </c>
      <c r="J45" s="115" t="e">
        <f>#N/A</f>
        <v>#N/A</v>
      </c>
      <c r="K45" s="115">
        <v>0</v>
      </c>
      <c r="L45" s="115" t="e">
        <f>#N/A</f>
        <v>#N/A</v>
      </c>
      <c r="M45" s="155"/>
      <c r="N45" s="114" t="e">
        <f>E45-#REF!</f>
        <v>#N/A</v>
      </c>
      <c r="O45" s="118" t="e">
        <f>F45-#REF!</f>
        <v>#REF!</v>
      </c>
      <c r="P45" s="117" t="e">
        <f>#N/A</f>
        <v>#N/A</v>
      </c>
      <c r="Q45" s="115" t="e">
        <f>#N/A</f>
        <v>#N/A</v>
      </c>
      <c r="R45" s="30"/>
      <c r="S45" s="67"/>
      <c r="T45" s="101" t="e">
        <f>#N/A</f>
        <v>#N/A</v>
      </c>
    </row>
    <row r="46" spans="1:20" s="6" customFormat="1" ht="18" hidden="1">
      <c r="A46" s="8"/>
      <c r="B46" s="88"/>
      <c r="C46" s="40"/>
      <c r="D46" s="102"/>
      <c r="E46" s="102"/>
      <c r="F46" s="382"/>
      <c r="G46" s="112"/>
      <c r="H46" s="114"/>
      <c r="I46" s="115"/>
      <c r="J46" s="115"/>
      <c r="K46" s="115"/>
      <c r="L46" s="115" t="e">
        <f>#N/A</f>
        <v>#N/A</v>
      </c>
      <c r="M46" s="155" t="e">
        <f>#N/A</f>
        <v>#N/A</v>
      </c>
      <c r="N46" s="114" t="e">
        <f>E46-#REF!</f>
        <v>#REF!</v>
      </c>
      <c r="O46" s="118" t="e">
        <f>F46-#REF!</f>
        <v>#REF!</v>
      </c>
      <c r="P46" s="117"/>
      <c r="Q46" s="115"/>
      <c r="R46" s="30"/>
      <c r="S46" s="67"/>
      <c r="T46" s="101" t="e">
        <f>#N/A</f>
        <v>#N/A</v>
      </c>
    </row>
    <row r="47" spans="1:20" s="6" customFormat="1" ht="18">
      <c r="A47" s="8"/>
      <c r="B47" s="26" t="s">
        <v>65</v>
      </c>
      <c r="C47" s="57">
        <v>22012500</v>
      </c>
      <c r="D47" s="102">
        <f>9900+1200</f>
        <v>11100</v>
      </c>
      <c r="E47" s="102" t="e">
        <f>#N/A</f>
        <v>#N/A</v>
      </c>
      <c r="F47" s="382">
        <v>11422.5</v>
      </c>
      <c r="G47" s="112" t="e">
        <f>#N/A</f>
        <v>#N/A</v>
      </c>
      <c r="H47" s="114" t="e">
        <f>#N/A</f>
        <v>#N/A</v>
      </c>
      <c r="I47" s="115" t="e">
        <f>#N/A</f>
        <v>#N/A</v>
      </c>
      <c r="J47" s="115" t="e">
        <f>#N/A</f>
        <v>#N/A</v>
      </c>
      <c r="K47" s="115">
        <v>9902.75</v>
      </c>
      <c r="L47" s="115" t="e">
        <f>#N/A</f>
        <v>#N/A</v>
      </c>
      <c r="M47" s="155" t="e">
        <f>#N/A</f>
        <v>#N/A</v>
      </c>
      <c r="N47" s="114" t="e">
        <f>E47-#REF!</f>
        <v>#N/A</v>
      </c>
      <c r="O47" s="118" t="e">
        <f>F47-#REF!</f>
        <v>#REF!</v>
      </c>
      <c r="P47" s="117" t="e">
        <f>#N/A</f>
        <v>#N/A</v>
      </c>
      <c r="Q47" s="115" t="e">
        <f>#N/A</f>
        <v>#N/A</v>
      </c>
      <c r="R47" s="30"/>
      <c r="S47" s="67"/>
      <c r="T47" s="101" t="e">
        <f>#N/A</f>
        <v>#N/A</v>
      </c>
    </row>
    <row r="48" spans="1:26" s="6" customFormat="1" ht="31.5">
      <c r="A48" s="8"/>
      <c r="B48" s="404" t="s">
        <v>86</v>
      </c>
      <c r="C48" s="57">
        <v>22012600</v>
      </c>
      <c r="D48" s="102">
        <f>650-350</f>
        <v>300</v>
      </c>
      <c r="E48" s="102" t="e">
        <f>#N/A</f>
        <v>#N/A</v>
      </c>
      <c r="F48" s="382">
        <v>323.25</v>
      </c>
      <c r="G48" s="112" t="e">
        <f>#N/A</f>
        <v>#N/A</v>
      </c>
      <c r="H48" s="114" t="e">
        <f>#N/A</f>
        <v>#N/A</v>
      </c>
      <c r="I48" s="115" t="e">
        <f>#N/A</f>
        <v>#N/A</v>
      </c>
      <c r="J48" s="115" t="e">
        <f>#N/A</f>
        <v>#N/A</v>
      </c>
      <c r="K48" s="115">
        <v>0</v>
      </c>
      <c r="L48" s="115" t="e">
        <f>#N/A</f>
        <v>#N/A</v>
      </c>
      <c r="M48" s="155"/>
      <c r="N48" s="114" t="e">
        <f>E48-#REF!</f>
        <v>#N/A</v>
      </c>
      <c r="O48" s="118" t="e">
        <f>F48-#REF!</f>
        <v>#REF!</v>
      </c>
      <c r="P48" s="117" t="e">
        <f>#N/A</f>
        <v>#N/A</v>
      </c>
      <c r="Q48" s="115"/>
      <c r="R48" s="30"/>
      <c r="S48" s="67"/>
      <c r="T48" s="101" t="e">
        <f>#N/A</f>
        <v>#N/A</v>
      </c>
      <c r="Z48" s="411"/>
    </row>
    <row r="49" spans="1:20" s="6" customFormat="1" ht="31.5">
      <c r="A49" s="8"/>
      <c r="B49" s="404" t="s">
        <v>90</v>
      </c>
      <c r="C49" s="57">
        <v>22012900</v>
      </c>
      <c r="D49" s="102">
        <f>50-31</f>
        <v>19</v>
      </c>
      <c r="E49" s="102" t="e">
        <f>#N/A</f>
        <v>#N/A</v>
      </c>
      <c r="F49" s="382">
        <v>22.36</v>
      </c>
      <c r="G49" s="112" t="e">
        <f>#N/A</f>
        <v>#N/A</v>
      </c>
      <c r="H49" s="114" t="e">
        <f>#N/A</f>
        <v>#N/A</v>
      </c>
      <c r="I49" s="115" t="e">
        <f>#N/A</f>
        <v>#N/A</v>
      </c>
      <c r="J49" s="115" t="e">
        <f>#N/A</f>
        <v>#N/A</v>
      </c>
      <c r="K49" s="115">
        <v>0</v>
      </c>
      <c r="L49" s="115" t="e">
        <f>#N/A</f>
        <v>#N/A</v>
      </c>
      <c r="M49" s="155"/>
      <c r="N49" s="114" t="e">
        <f>E49-#REF!</f>
        <v>#N/A</v>
      </c>
      <c r="O49" s="118" t="e">
        <f>F49-#REF!</f>
        <v>#REF!</v>
      </c>
      <c r="P49" s="117" t="e">
        <f>#N/A</f>
        <v>#N/A</v>
      </c>
      <c r="Q49" s="115" t="e">
        <f>#N/A</f>
        <v>#N/A</v>
      </c>
      <c r="R49" s="30"/>
      <c r="S49" s="67"/>
      <c r="T49" s="101" t="e">
        <f>#N/A</f>
        <v>#N/A</v>
      </c>
    </row>
    <row r="50" spans="1:20" s="6" customFormat="1" ht="30.75">
      <c r="A50" s="8"/>
      <c r="B50" s="88" t="s">
        <v>14</v>
      </c>
      <c r="C50" s="40">
        <v>22080400</v>
      </c>
      <c r="D50" s="102">
        <f>8000-770</f>
        <v>7230</v>
      </c>
      <c r="E50" s="102" t="e">
        <f>#N/A</f>
        <v>#N/A</v>
      </c>
      <c r="F50" s="382">
        <v>7230.43</v>
      </c>
      <c r="G50" s="112" t="e">
        <f>#N/A</f>
        <v>#N/A</v>
      </c>
      <c r="H50" s="114" t="e">
        <f>#N/A</f>
        <v>#N/A</v>
      </c>
      <c r="I50" s="115" t="e">
        <f>#N/A</f>
        <v>#N/A</v>
      </c>
      <c r="J50" s="115" t="e">
        <f>#N/A</f>
        <v>#N/A</v>
      </c>
      <c r="K50" s="115">
        <v>8872.3</v>
      </c>
      <c r="L50" s="115" t="e">
        <f>#N/A</f>
        <v>#N/A</v>
      </c>
      <c r="M50" s="155" t="e">
        <f>#N/A</f>
        <v>#N/A</v>
      </c>
      <c r="N50" s="114" t="e">
        <f>E50-#REF!</f>
        <v>#N/A</v>
      </c>
      <c r="O50" s="118" t="e">
        <f>F50-#REF!</f>
        <v>#REF!</v>
      </c>
      <c r="P50" s="117" t="e">
        <f>#N/A</f>
        <v>#N/A</v>
      </c>
      <c r="Q50" s="115" t="e">
        <f>#N/A</f>
        <v>#N/A</v>
      </c>
      <c r="R50" s="30"/>
      <c r="S50" s="67"/>
      <c r="T50" s="101" t="e">
        <f>#N/A</f>
        <v>#N/A</v>
      </c>
    </row>
    <row r="51" spans="1:20" s="6" customFormat="1" ht="18">
      <c r="A51" s="8"/>
      <c r="B51" s="88" t="s">
        <v>15</v>
      </c>
      <c r="C51" s="34">
        <v>22090000</v>
      </c>
      <c r="D51" s="102">
        <f>7000.04-175-1675</f>
        <v>5150.04</v>
      </c>
      <c r="E51" s="102" t="e">
        <f>#N/A</f>
        <v>#N/A</v>
      </c>
      <c r="F51" s="382">
        <v>5161.34</v>
      </c>
      <c r="G51" s="112" t="e">
        <f>#N/A</f>
        <v>#N/A</v>
      </c>
      <c r="H51" s="114" t="e">
        <f>#N/A</f>
        <v>#N/A</v>
      </c>
      <c r="I51" s="115" t="e">
        <f>#N/A</f>
        <v>#N/A</v>
      </c>
      <c r="J51" s="115" t="e">
        <f>#N/A</f>
        <v>#N/A</v>
      </c>
      <c r="K51" s="115">
        <v>7235.66</v>
      </c>
      <c r="L51" s="115" t="e">
        <f>#N/A</f>
        <v>#N/A</v>
      </c>
      <c r="M51" s="155" t="e">
        <f>#N/A</f>
        <v>#N/A</v>
      </c>
      <c r="N51" s="114" t="e">
        <f>E51-#REF!</f>
        <v>#N/A</v>
      </c>
      <c r="O51" s="118" t="e">
        <f>F51-#REF!</f>
        <v>#REF!</v>
      </c>
      <c r="P51" s="117" t="e">
        <f>#N/A</f>
        <v>#N/A</v>
      </c>
      <c r="Q51" s="115" t="e">
        <f>#N/A</f>
        <v>#N/A</v>
      </c>
      <c r="R51" s="30"/>
      <c r="S51" s="67"/>
      <c r="T51" s="101" t="e">
        <f>#N/A</f>
        <v>#N/A</v>
      </c>
    </row>
    <row r="52" spans="1:20" s="6" customFormat="1" ht="18">
      <c r="A52" s="8"/>
      <c r="B52" s="41" t="s">
        <v>84</v>
      </c>
      <c r="C52" s="84">
        <v>22090100</v>
      </c>
      <c r="D52" s="71">
        <f>970-175</f>
        <v>795</v>
      </c>
      <c r="E52" s="71" t="e">
        <f>#N/A</f>
        <v>#N/A</v>
      </c>
      <c r="F52" s="385">
        <v>835.21</v>
      </c>
      <c r="G52" s="27" t="e">
        <f>#N/A</f>
        <v>#N/A</v>
      </c>
      <c r="H52" s="23" t="e">
        <f>#N/A</f>
        <v>#N/A</v>
      </c>
      <c r="I52" s="72" t="e">
        <f>#N/A</f>
        <v>#N/A</v>
      </c>
      <c r="J52" s="72" t="e">
        <f>#N/A</f>
        <v>#N/A</v>
      </c>
      <c r="K52" s="72">
        <v>1089.08</v>
      </c>
      <c r="L52" s="72">
        <f>F52-K52</f>
        <v>-253.8699999999999</v>
      </c>
      <c r="M52" s="75" t="e">
        <f>#N/A</f>
        <v>#N/A</v>
      </c>
      <c r="N52" s="114" t="e">
        <f>E52-#REF!</f>
        <v>#N/A</v>
      </c>
      <c r="O52" s="118" t="e">
        <f>F52-#REF!</f>
        <v>#REF!</v>
      </c>
      <c r="P52" s="74" t="e">
        <f>#N/A</f>
        <v>#N/A</v>
      </c>
      <c r="Q52" s="80" t="e">
        <f>#N/A</f>
        <v>#N/A</v>
      </c>
      <c r="R52" s="30"/>
      <c r="S52" s="67"/>
      <c r="T52" s="101" t="e">
        <f>#N/A</f>
        <v>#N/A</v>
      </c>
    </row>
    <row r="53" spans="1:20" s="6" customFormat="1" ht="18">
      <c r="A53" s="8"/>
      <c r="B53" s="41" t="s">
        <v>81</v>
      </c>
      <c r="C53" s="84">
        <v>22090200</v>
      </c>
      <c r="D53" s="71">
        <v>5.04</v>
      </c>
      <c r="E53" s="71" t="e">
        <f>#N/A</f>
        <v>#N/A</v>
      </c>
      <c r="F53" s="385">
        <v>0.38</v>
      </c>
      <c r="G53" s="27" t="e">
        <f>#N/A</f>
        <v>#N/A</v>
      </c>
      <c r="H53" s="23" t="e">
        <f>#N/A</f>
        <v>#N/A</v>
      </c>
      <c r="I53" s="72" t="e">
        <f>#N/A</f>
        <v>#N/A</v>
      </c>
      <c r="J53" s="72" t="e">
        <f>#N/A</f>
        <v>#N/A</v>
      </c>
      <c r="K53" s="72">
        <v>44.23</v>
      </c>
      <c r="L53" s="72">
        <f>F53-K53</f>
        <v>-43.849999999999994</v>
      </c>
      <c r="M53" s="75" t="e">
        <f>#N/A</f>
        <v>#N/A</v>
      </c>
      <c r="N53" s="114" t="e">
        <f>E53-#REF!</f>
        <v>#N/A</v>
      </c>
      <c r="O53" s="118" t="e">
        <f>F53-#REF!</f>
        <v>#REF!</v>
      </c>
      <c r="P53" s="74" t="e">
        <f>#N/A</f>
        <v>#N/A</v>
      </c>
      <c r="Q53" s="80" t="e">
        <f>#N/A</f>
        <v>#N/A</v>
      </c>
      <c r="R53" s="30"/>
      <c r="S53" s="67"/>
      <c r="T53" s="101" t="e">
        <f>#N/A</f>
        <v>#N/A</v>
      </c>
    </row>
    <row r="54" spans="1:20" s="6" customFormat="1" ht="18">
      <c r="A54" s="8"/>
      <c r="B54" s="41" t="s">
        <v>82</v>
      </c>
      <c r="C54" s="84">
        <v>22090300</v>
      </c>
      <c r="D54" s="71">
        <v>1</v>
      </c>
      <c r="E54" s="71" t="e">
        <f>#N/A</f>
        <v>#N/A</v>
      </c>
      <c r="F54" s="385">
        <v>0.02</v>
      </c>
      <c r="G54" s="27" t="e">
        <f>#N/A</f>
        <v>#N/A</v>
      </c>
      <c r="H54" s="23"/>
      <c r="I54" s="72" t="e">
        <f>#N/A</f>
        <v>#N/A</v>
      </c>
      <c r="J54" s="72" t="e">
        <f>#N/A</f>
        <v>#N/A</v>
      </c>
      <c r="K54" s="72">
        <v>0.75</v>
      </c>
      <c r="L54" s="72">
        <f>F54-K54</f>
        <v>-0.73</v>
      </c>
      <c r="M54" s="75" t="e">
        <f>#N/A</f>
        <v>#N/A</v>
      </c>
      <c r="N54" s="114" t="e">
        <f>E54-#REF!</f>
        <v>#N/A</v>
      </c>
      <c r="O54" s="118" t="e">
        <f>F54-#REF!</f>
        <v>#REF!</v>
      </c>
      <c r="P54" s="74" t="e">
        <f>#N/A</f>
        <v>#N/A</v>
      </c>
      <c r="Q54" s="80"/>
      <c r="R54" s="30"/>
      <c r="S54" s="67"/>
      <c r="T54" s="101" t="e">
        <f>#N/A</f>
        <v>#N/A</v>
      </c>
    </row>
    <row r="55" spans="1:20" s="6" customFormat="1" ht="18">
      <c r="A55" s="8"/>
      <c r="B55" s="41" t="s">
        <v>83</v>
      </c>
      <c r="C55" s="84">
        <v>22090400</v>
      </c>
      <c r="D55" s="71">
        <f>6024-1675</f>
        <v>4349</v>
      </c>
      <c r="E55" s="71" t="e">
        <f>#N/A</f>
        <v>#N/A</v>
      </c>
      <c r="F55" s="385">
        <v>4325.74</v>
      </c>
      <c r="G55" s="27" t="e">
        <f>#N/A</f>
        <v>#N/A</v>
      </c>
      <c r="H55" s="23" t="e">
        <f>#N/A</f>
        <v>#N/A</v>
      </c>
      <c r="I55" s="72" t="e">
        <f>#N/A</f>
        <v>#N/A</v>
      </c>
      <c r="J55" s="72" t="e">
        <f>#N/A</f>
        <v>#N/A</v>
      </c>
      <c r="K55" s="72">
        <v>6101.6</v>
      </c>
      <c r="L55" s="72">
        <f>F55-K55</f>
        <v>-1775.8600000000006</v>
      </c>
      <c r="M55" s="75" t="e">
        <f>#N/A</f>
        <v>#N/A</v>
      </c>
      <c r="N55" s="114" t="e">
        <f>E55-#REF!</f>
        <v>#N/A</v>
      </c>
      <c r="O55" s="118" t="e">
        <f>F55-#REF!</f>
        <v>#REF!</v>
      </c>
      <c r="P55" s="74" t="e">
        <f>#N/A</f>
        <v>#N/A</v>
      </c>
      <c r="Q55" s="80" t="e">
        <f>#N/A</f>
        <v>#N/A</v>
      </c>
      <c r="R55" s="30"/>
      <c r="S55" s="67"/>
      <c r="T55" s="101" t="e">
        <f>#N/A</f>
        <v>#N/A</v>
      </c>
    </row>
    <row r="56" spans="1:20" s="6" customFormat="1" ht="46.5">
      <c r="A56" s="8"/>
      <c r="B56" s="381" t="s">
        <v>17</v>
      </c>
      <c r="C56" s="11" t="s">
        <v>18</v>
      </c>
      <c r="D56" s="102">
        <f>10-8</f>
        <v>2</v>
      </c>
      <c r="E56" s="102" t="e">
        <f>#N/A</f>
        <v>#N/A</v>
      </c>
      <c r="F56" s="382">
        <v>2.46</v>
      </c>
      <c r="G56" s="112" t="e">
        <f>#N/A</f>
        <v>#N/A</v>
      </c>
      <c r="H56" s="114" t="e">
        <f>#N/A</f>
        <v>#N/A</v>
      </c>
      <c r="I56" s="115" t="e">
        <f>#N/A</f>
        <v>#N/A</v>
      </c>
      <c r="J56" s="115" t="e">
        <f>#N/A</f>
        <v>#N/A</v>
      </c>
      <c r="K56" s="115">
        <v>10.65</v>
      </c>
      <c r="L56" s="115">
        <f>F56-K56</f>
        <v>-8.190000000000001</v>
      </c>
      <c r="M56" s="155" t="e">
        <f>#N/A</f>
        <v>#N/A</v>
      </c>
      <c r="N56" s="114" t="e">
        <f>E56-#REF!</f>
        <v>#N/A</v>
      </c>
      <c r="O56" s="118" t="e">
        <f>F56-#REF!</f>
        <v>#REF!</v>
      </c>
      <c r="P56" s="117" t="e">
        <f>#N/A</f>
        <v>#N/A</v>
      </c>
      <c r="Q56" s="115"/>
      <c r="R56" s="30"/>
      <c r="S56" s="67"/>
      <c r="T56" s="101" t="e">
        <f>#N/A</f>
        <v>#N/A</v>
      </c>
    </row>
    <row r="57" spans="1:20" s="6" customFormat="1" ht="15.75" customHeight="1">
      <c r="A57" s="8"/>
      <c r="B57" s="89" t="s">
        <v>13</v>
      </c>
      <c r="C57" s="11" t="s">
        <v>19</v>
      </c>
      <c r="D57" s="102">
        <f>5150+1050</f>
        <v>6200</v>
      </c>
      <c r="E57" s="102" t="e">
        <f>#N/A</f>
        <v>#N/A</v>
      </c>
      <c r="F57" s="382">
        <v>6525.16</v>
      </c>
      <c r="G57" s="112" t="e">
        <f>#N/A</f>
        <v>#N/A</v>
      </c>
      <c r="H57" s="114" t="e">
        <f>#N/A</f>
        <v>#N/A</v>
      </c>
      <c r="I57" s="115" t="e">
        <f>#N/A</f>
        <v>#N/A</v>
      </c>
      <c r="J57" s="115" t="e">
        <f>#N/A</f>
        <v>#N/A</v>
      </c>
      <c r="K57" s="115">
        <v>4790.19</v>
      </c>
      <c r="L57" s="115" t="e">
        <f>#N/A</f>
        <v>#N/A</v>
      </c>
      <c r="M57" s="155" t="e">
        <f>#N/A</f>
        <v>#N/A</v>
      </c>
      <c r="N57" s="114" t="e">
        <f>E57-#REF!</f>
        <v>#N/A</v>
      </c>
      <c r="O57" s="118" t="e">
        <f>F57-#REF!</f>
        <v>#REF!</v>
      </c>
      <c r="P57" s="117" t="e">
        <f>#N/A</f>
        <v>#N/A</v>
      </c>
      <c r="Q57" s="115" t="e">
        <f>#N/A</f>
        <v>#N/A</v>
      </c>
      <c r="R57" s="30"/>
      <c r="S57" s="67"/>
      <c r="T57" s="101" t="e">
        <f>#N/A</f>
        <v>#N/A</v>
      </c>
    </row>
    <row r="58" spans="1:20" s="6" customFormat="1" ht="18" hidden="1">
      <c r="A58" s="8"/>
      <c r="B58" s="12" t="s">
        <v>22</v>
      </c>
      <c r="C58" s="49" t="s">
        <v>23</v>
      </c>
      <c r="D58" s="24">
        <v>0</v>
      </c>
      <c r="E58" s="24">
        <v>0</v>
      </c>
      <c r="F58" s="405">
        <v>0</v>
      </c>
      <c r="G58" s="112" t="e">
        <f>#N/A</f>
        <v>#N/A</v>
      </c>
      <c r="H58" s="114" t="e">
        <f>#N/A</f>
        <v>#N/A</v>
      </c>
      <c r="I58" s="115" t="e">
        <f>#N/A</f>
        <v>#N/A</v>
      </c>
      <c r="J58" s="115" t="e">
        <f>#N/A</f>
        <v>#N/A</v>
      </c>
      <c r="K58" s="115"/>
      <c r="L58" s="115" t="e">
        <f>#N/A</f>
        <v>#N/A</v>
      </c>
      <c r="M58" s="155" t="e">
        <f>#N/A</f>
        <v>#N/A</v>
      </c>
      <c r="N58" s="114" t="e">
        <f>E58-#REF!</f>
        <v>#REF!</v>
      </c>
      <c r="O58" s="118" t="e">
        <f>F58-#REF!</f>
        <v>#REF!</v>
      </c>
      <c r="P58" s="117" t="e">
        <f>#N/A</f>
        <v>#N/A</v>
      </c>
      <c r="Q58" s="115" t="e">
        <f>#N/A</f>
        <v>#N/A</v>
      </c>
      <c r="R58" s="30"/>
      <c r="S58" s="67"/>
      <c r="T58" s="101" t="e">
        <f>#N/A</f>
        <v>#N/A</v>
      </c>
    </row>
    <row r="59" spans="1:20" s="6" customFormat="1" ht="30.75">
      <c r="A59" s="8"/>
      <c r="B59" s="41" t="s">
        <v>37</v>
      </c>
      <c r="C59" s="49"/>
      <c r="D59" s="71"/>
      <c r="E59" s="71"/>
      <c r="F59" s="406">
        <v>1411.18</v>
      </c>
      <c r="G59" s="112"/>
      <c r="H59" s="114"/>
      <c r="I59" s="115"/>
      <c r="J59" s="115"/>
      <c r="K59" s="116">
        <v>1224.23</v>
      </c>
      <c r="L59" s="115" t="e">
        <f>#N/A</f>
        <v>#N/A</v>
      </c>
      <c r="M59" s="155" t="e">
        <f>#N/A</f>
        <v>#N/A</v>
      </c>
      <c r="N59" s="114"/>
      <c r="O59" s="124" t="e">
        <f>F59-#REF!</f>
        <v>#REF!</v>
      </c>
      <c r="P59" s="116"/>
      <c r="Q59" s="115"/>
      <c r="R59" s="30"/>
      <c r="S59" s="67"/>
      <c r="T59" s="101" t="e">
        <f>#N/A</f>
        <v>#N/A</v>
      </c>
    </row>
    <row r="60" spans="1:20" s="6" customFormat="1" ht="18" hidden="1">
      <c r="A60" s="8"/>
      <c r="B60" s="89" t="s">
        <v>20</v>
      </c>
      <c r="C60" s="86" t="s">
        <v>21</v>
      </c>
      <c r="D60" s="27">
        <v>0</v>
      </c>
      <c r="E60" s="27">
        <f>D60</f>
        <v>0</v>
      </c>
      <c r="F60" s="407">
        <v>0</v>
      </c>
      <c r="G60" s="112" t="e">
        <f>#N/A</f>
        <v>#N/A</v>
      </c>
      <c r="H60" s="114"/>
      <c r="I60" s="115" t="e">
        <f>#N/A</f>
        <v>#N/A</v>
      </c>
      <c r="J60" s="115"/>
      <c r="K60" s="116"/>
      <c r="L60" s="115" t="e">
        <f>#N/A</f>
        <v>#N/A</v>
      </c>
      <c r="M60" s="155" t="e">
        <f>#N/A</f>
        <v>#N/A</v>
      </c>
      <c r="N60" s="114" t="e">
        <f>E60-#REF!</f>
        <v>#REF!</v>
      </c>
      <c r="O60" s="118" t="e">
        <f>F60-#REF!</f>
        <v>#REF!</v>
      </c>
      <c r="P60" s="117" t="e">
        <f>#N/A</f>
        <v>#N/A</v>
      </c>
      <c r="Q60" s="115"/>
      <c r="R60" s="30"/>
      <c r="S60" s="67"/>
      <c r="T60" s="101" t="e">
        <f>#N/A</f>
        <v>#N/A</v>
      </c>
    </row>
    <row r="61" spans="1:20" s="6" customFormat="1" ht="44.25" customHeight="1">
      <c r="A61" s="8"/>
      <c r="B61" s="89" t="s">
        <v>38</v>
      </c>
      <c r="C61" s="34">
        <v>24061900</v>
      </c>
      <c r="D61" s="102">
        <f>100+58</f>
        <v>158</v>
      </c>
      <c r="E61" s="102">
        <f>D61</f>
        <v>158</v>
      </c>
      <c r="F61" s="382">
        <v>226.72</v>
      </c>
      <c r="G61" s="112" t="e">
        <f>#N/A</f>
        <v>#N/A</v>
      </c>
      <c r="H61" s="114" t="e">
        <f>#N/A</f>
        <v>#N/A</v>
      </c>
      <c r="I61" s="115" t="e">
        <f>#N/A</f>
        <v>#N/A</v>
      </c>
      <c r="J61" s="115" t="e">
        <f>#N/A</f>
        <v>#N/A</v>
      </c>
      <c r="K61" s="115">
        <v>20.05</v>
      </c>
      <c r="L61" s="115" t="e">
        <f>#N/A</f>
        <v>#N/A</v>
      </c>
      <c r="M61" s="155" t="e">
        <f>#N/A</f>
        <v>#N/A</v>
      </c>
      <c r="N61" s="114" t="e">
        <f>E61-#REF!</f>
        <v>#REF!</v>
      </c>
      <c r="O61" s="118" t="e">
        <f>F61-#REF!</f>
        <v>#REF!</v>
      </c>
      <c r="P61" s="117" t="e">
        <f>#N/A</f>
        <v>#N/A</v>
      </c>
      <c r="Q61" s="115"/>
      <c r="R61" s="30"/>
      <c r="S61" s="67"/>
      <c r="T61" s="101" t="e">
        <f>#N/A</f>
        <v>#N/A</v>
      </c>
    </row>
    <row r="62" spans="1:20" s="6" customFormat="1" ht="18">
      <c r="A62" s="8"/>
      <c r="B62" s="12" t="s">
        <v>39</v>
      </c>
      <c r="C62" s="34">
        <v>31010200</v>
      </c>
      <c r="D62" s="102">
        <f>30-17</f>
        <v>13</v>
      </c>
      <c r="E62" s="102">
        <f>D62</f>
        <v>13</v>
      </c>
      <c r="F62" s="382">
        <v>13.52</v>
      </c>
      <c r="G62" s="112" t="e">
        <f>#N/A</f>
        <v>#N/A</v>
      </c>
      <c r="H62" s="114" t="e">
        <f>#N/A</f>
        <v>#N/A</v>
      </c>
      <c r="I62" s="115" t="e">
        <f>#N/A</f>
        <v>#N/A</v>
      </c>
      <c r="J62" s="115" t="e">
        <f>#N/A</f>
        <v>#N/A</v>
      </c>
      <c r="K62" s="115">
        <v>26.28</v>
      </c>
      <c r="L62" s="115" t="e">
        <f>#N/A</f>
        <v>#N/A</v>
      </c>
      <c r="M62" s="155" t="e">
        <f>#N/A</f>
        <v>#N/A</v>
      </c>
      <c r="N62" s="114" t="e">
        <f>E62-#REF!</f>
        <v>#REF!</v>
      </c>
      <c r="O62" s="118" t="e">
        <f>F62-#REF!</f>
        <v>#REF!</v>
      </c>
      <c r="P62" s="117" t="e">
        <f>#N/A</f>
        <v>#N/A</v>
      </c>
      <c r="Q62" s="115" t="e">
        <f>#N/A</f>
        <v>#N/A</v>
      </c>
      <c r="R62" s="30"/>
      <c r="S62" s="67"/>
      <c r="T62" s="101" t="e">
        <f>#N/A</f>
        <v>#N/A</v>
      </c>
    </row>
    <row r="63" spans="1:20" s="6" customFormat="1" ht="30.75">
      <c r="A63" s="8"/>
      <c r="B63" s="12" t="s">
        <v>49</v>
      </c>
      <c r="C63" s="34">
        <v>31020000</v>
      </c>
      <c r="D63" s="102">
        <v>0.8</v>
      </c>
      <c r="E63" s="102">
        <f>D63</f>
        <v>0.8</v>
      </c>
      <c r="F63" s="382">
        <v>7.37</v>
      </c>
      <c r="G63" s="112" t="e">
        <f>#N/A</f>
        <v>#N/A</v>
      </c>
      <c r="H63" s="114"/>
      <c r="I63" s="115" t="e">
        <f>#N/A</f>
        <v>#N/A</v>
      </c>
      <c r="J63" s="115"/>
      <c r="K63" s="115">
        <v>0.58</v>
      </c>
      <c r="L63" s="115" t="e">
        <f>#N/A</f>
        <v>#N/A</v>
      </c>
      <c r="M63" s="155" t="e">
        <f>#N/A</f>
        <v>#N/A</v>
      </c>
      <c r="N63" s="114" t="e">
        <f>E63-#REF!</f>
        <v>#REF!</v>
      </c>
      <c r="O63" s="118" t="e">
        <f>F63-#REF!</f>
        <v>#REF!</v>
      </c>
      <c r="P63" s="117" t="e">
        <f>#N/A</f>
        <v>#N/A</v>
      </c>
      <c r="Q63" s="115"/>
      <c r="R63" s="30"/>
      <c r="S63" s="67"/>
      <c r="T63" s="101" t="e">
        <f>#N/A</f>
        <v>#N/A</v>
      </c>
    </row>
    <row r="64" spans="1:23" s="6" customFormat="1" ht="18">
      <c r="A64" s="9"/>
      <c r="B64" s="13" t="s">
        <v>199</v>
      </c>
      <c r="C64" s="50"/>
      <c r="D64" s="103">
        <f>D8+D38+D62+D63</f>
        <v>1042725.7300000001</v>
      </c>
      <c r="E64" s="103" t="e">
        <f>E8+E38+E62+E63</f>
        <v>#N/A</v>
      </c>
      <c r="F64" s="173">
        <f>F8+F38+F62+F63</f>
        <v>1053569.5100000002</v>
      </c>
      <c r="G64" s="103" t="e">
        <f>F64-E64</f>
        <v>#N/A</v>
      </c>
      <c r="H64" s="380" t="e">
        <f>F64/E64*100</f>
        <v>#N/A</v>
      </c>
      <c r="I64" s="104">
        <f>F64-D64</f>
        <v>10843.780000000144</v>
      </c>
      <c r="J64" s="104">
        <f>F64/D64*100</f>
        <v>101.0399455665106</v>
      </c>
      <c r="K64" s="104">
        <v>723400.62</v>
      </c>
      <c r="L64" s="104">
        <f>F64-K64</f>
        <v>330168.89000000025</v>
      </c>
      <c r="M64" s="156">
        <f>F64/K64</f>
        <v>1.4564122297821644</v>
      </c>
      <c r="N64" s="103" t="e">
        <f>N8+N38+N62+N63</f>
        <v>#REF!</v>
      </c>
      <c r="O64" s="103" t="e">
        <f>O8+O38+O62+O63</f>
        <v>#REF!</v>
      </c>
      <c r="P64" s="408" t="e">
        <f>O64-N64</f>
        <v>#REF!</v>
      </c>
      <c r="Q64" s="104" t="e">
        <f>O64/N64*100</f>
        <v>#REF!</v>
      </c>
      <c r="R64" s="409" t="e">
        <f>O64-34768</f>
        <v>#REF!</v>
      </c>
      <c r="S64" s="410" t="e">
        <f>O64/34768</f>
        <v>#REF!</v>
      </c>
      <c r="T64" s="101" t="e">
        <f>#N/A</f>
        <v>#N/A</v>
      </c>
      <c r="U64" s="411"/>
      <c r="W64" s="101"/>
    </row>
    <row r="65" spans="1:20" s="39" customFormat="1" ht="17.25" hidden="1">
      <c r="A65" s="36"/>
      <c r="B65" s="43"/>
      <c r="C65" s="51"/>
      <c r="D65" s="37"/>
      <c r="E65" s="37"/>
      <c r="F65" s="412"/>
      <c r="G65" s="61"/>
      <c r="H65" s="38"/>
      <c r="I65" s="42"/>
      <c r="J65" s="28"/>
      <c r="K65" s="28"/>
      <c r="L65" s="28"/>
      <c r="M65" s="28"/>
      <c r="N65" s="38"/>
      <c r="O65" s="37"/>
      <c r="P65" s="62"/>
      <c r="Q65" s="28"/>
      <c r="R65" s="28"/>
      <c r="S65" s="68"/>
      <c r="T65" s="101" t="e">
        <f>#N/A</f>
        <v>#N/A</v>
      </c>
    </row>
    <row r="66" spans="1:20" s="39" customFormat="1" ht="17.25" hidden="1">
      <c r="A66" s="36"/>
      <c r="B66" s="44"/>
      <c r="C66" s="51"/>
      <c r="D66" s="45"/>
      <c r="E66" s="37"/>
      <c r="F66" s="412"/>
      <c r="G66" s="32"/>
      <c r="H66" s="38"/>
      <c r="I66" s="46"/>
      <c r="J66" s="28"/>
      <c r="K66" s="28"/>
      <c r="L66" s="28"/>
      <c r="M66" s="28"/>
      <c r="N66" s="23"/>
      <c r="O66" s="37"/>
      <c r="P66" s="47"/>
      <c r="Q66" s="28"/>
      <c r="R66" s="28"/>
      <c r="S66" s="68"/>
      <c r="T66" s="101" t="e">
        <f>#N/A</f>
        <v>#N/A</v>
      </c>
    </row>
    <row r="67" spans="1:20" s="39" customFormat="1" ht="17.25" hidden="1">
      <c r="A67" s="36"/>
      <c r="B67" s="44"/>
      <c r="C67" s="51"/>
      <c r="D67" s="45"/>
      <c r="E67" s="27"/>
      <c r="F67" s="413"/>
      <c r="G67" s="32"/>
      <c r="H67" s="38"/>
      <c r="I67" s="46"/>
      <c r="J67" s="28"/>
      <c r="K67" s="28"/>
      <c r="L67" s="28"/>
      <c r="M67" s="28"/>
      <c r="N67" s="23"/>
      <c r="O67" s="45"/>
      <c r="P67" s="62"/>
      <c r="Q67" s="28"/>
      <c r="R67" s="28"/>
      <c r="S67" s="68"/>
      <c r="T67" s="101" t="e">
        <f>#N/A</f>
        <v>#N/A</v>
      </c>
    </row>
    <row r="68" spans="2:20" ht="15">
      <c r="B68" s="19" t="s">
        <v>91</v>
      </c>
      <c r="C68" s="52"/>
      <c r="D68" s="21"/>
      <c r="E68" s="21"/>
      <c r="F68" s="414"/>
      <c r="G68" s="27"/>
      <c r="H68" s="23"/>
      <c r="I68" s="31"/>
      <c r="J68" s="31"/>
      <c r="K68" s="31"/>
      <c r="L68" s="31"/>
      <c r="M68" s="31"/>
      <c r="N68" s="24"/>
      <c r="O68" s="100"/>
      <c r="P68" s="29"/>
      <c r="Q68" s="31"/>
      <c r="R68" s="31"/>
      <c r="S68" s="69"/>
      <c r="T68" s="101" t="e">
        <f>#N/A</f>
        <v>#N/A</v>
      </c>
    </row>
    <row r="69" spans="2:20" ht="25.5" customHeight="1">
      <c r="B69" s="415" t="s">
        <v>87</v>
      </c>
      <c r="C69" s="90">
        <v>12020000</v>
      </c>
      <c r="D69" s="125">
        <v>0</v>
      </c>
      <c r="E69" s="125">
        <f>D69</f>
        <v>0</v>
      </c>
      <c r="F69" s="416">
        <v>0.01</v>
      </c>
      <c r="G69" s="112"/>
      <c r="H69" s="114"/>
      <c r="I69" s="117"/>
      <c r="J69" s="117"/>
      <c r="K69" s="117">
        <v>0.01</v>
      </c>
      <c r="L69" s="117">
        <f>F69-K69</f>
        <v>0</v>
      </c>
      <c r="M69" s="147">
        <f>F69/K69</f>
        <v>1</v>
      </c>
      <c r="N69" s="112"/>
      <c r="O69" s="417" t="e">
        <f>F69-#REF!</f>
        <v>#REF!</v>
      </c>
      <c r="P69" s="117"/>
      <c r="Q69" s="117"/>
      <c r="R69" s="31"/>
      <c r="S69" s="69"/>
      <c r="T69" s="101" t="e">
        <f>#N/A</f>
        <v>#N/A</v>
      </c>
    </row>
    <row r="70" spans="2:20" ht="31.5">
      <c r="B70" s="20" t="s">
        <v>52</v>
      </c>
      <c r="C70" s="58">
        <v>18041500</v>
      </c>
      <c r="D70" s="125">
        <v>0</v>
      </c>
      <c r="E70" s="125">
        <f>D70</f>
        <v>0</v>
      </c>
      <c r="F70" s="416">
        <v>-10.19</v>
      </c>
      <c r="G70" s="112">
        <f>F70-E70</f>
        <v>-10.19</v>
      </c>
      <c r="H70" s="114"/>
      <c r="I70" s="117">
        <f>F70-D70</f>
        <v>-10.19</v>
      </c>
      <c r="J70" s="117"/>
      <c r="K70" s="117">
        <v>-56.2</v>
      </c>
      <c r="L70" s="117">
        <f>F70-K70</f>
        <v>46.010000000000005</v>
      </c>
      <c r="M70" s="147">
        <f>F70/K70</f>
        <v>0.18131672597864767</v>
      </c>
      <c r="N70" s="114"/>
      <c r="O70" s="417" t="e">
        <f>F70-#REF!</f>
        <v>#REF!</v>
      </c>
      <c r="P70" s="117" t="e">
        <f>O70-N70</f>
        <v>#REF!</v>
      </c>
      <c r="Q70" s="117"/>
      <c r="R70" s="31"/>
      <c r="S70" s="69"/>
      <c r="T70" s="101" t="e">
        <f>#N/A</f>
        <v>#N/A</v>
      </c>
    </row>
    <row r="71" spans="2:20" ht="17.25">
      <c r="B71" s="22" t="s">
        <v>40</v>
      </c>
      <c r="C71" s="59"/>
      <c r="D71" s="127">
        <f>D70</f>
        <v>0</v>
      </c>
      <c r="E71" s="127">
        <f>E70</f>
        <v>0</v>
      </c>
      <c r="F71" s="418">
        <f>SUM(F69:F70)</f>
        <v>-10.18</v>
      </c>
      <c r="G71" s="129">
        <f>F71-E71</f>
        <v>-10.18</v>
      </c>
      <c r="H71" s="130"/>
      <c r="I71" s="131">
        <f>F71-D71</f>
        <v>-10.18</v>
      </c>
      <c r="J71" s="131"/>
      <c r="K71" s="131">
        <v>-56.2</v>
      </c>
      <c r="L71" s="131">
        <f>F71-K71</f>
        <v>46.02</v>
      </c>
      <c r="M71" s="151">
        <f>F71/K71</f>
        <v>0.18113879003558717</v>
      </c>
      <c r="N71" s="129">
        <f>N70</f>
        <v>0</v>
      </c>
      <c r="O71" s="132" t="e">
        <f>SUM(O69:O70)</f>
        <v>#REF!</v>
      </c>
      <c r="P71" s="131" t="e">
        <f>O71-N71</f>
        <v>#REF!</v>
      </c>
      <c r="Q71" s="131"/>
      <c r="R71" s="419"/>
      <c r="S71" s="420"/>
      <c r="T71" s="101" t="e">
        <f>#N/A</f>
        <v>#N/A</v>
      </c>
    </row>
    <row r="72" spans="2:20" ht="46.5" hidden="1">
      <c r="B72" s="20" t="s">
        <v>32</v>
      </c>
      <c r="C72" s="59">
        <v>21110000</v>
      </c>
      <c r="D72" s="125">
        <v>0</v>
      </c>
      <c r="E72" s="125"/>
      <c r="F72" s="416">
        <v>0</v>
      </c>
      <c r="G72" s="112" t="e">
        <f>#N/A</f>
        <v>#N/A</v>
      </c>
      <c r="H72" s="114" t="e">
        <f>F72/E72*100</f>
        <v>#DIV/0!</v>
      </c>
      <c r="I72" s="117" t="e">
        <f>#N/A</f>
        <v>#N/A</v>
      </c>
      <c r="J72" s="117" t="e">
        <f>#N/A</f>
        <v>#N/A</v>
      </c>
      <c r="K72" s="117"/>
      <c r="L72" s="117"/>
      <c r="M72" s="117"/>
      <c r="N72" s="112">
        <v>0</v>
      </c>
      <c r="O72" s="417">
        <f>F72</f>
        <v>0</v>
      </c>
      <c r="P72" s="117" t="e">
        <f>#N/A</f>
        <v>#N/A</v>
      </c>
      <c r="Q72" s="117"/>
      <c r="R72" s="31"/>
      <c r="S72" s="69"/>
      <c r="T72" s="101" t="e">
        <f>#N/A</f>
        <v>#N/A</v>
      </c>
    </row>
    <row r="73" spans="2:20" ht="31.5">
      <c r="B73" s="20" t="s">
        <v>28</v>
      </c>
      <c r="C73" s="58">
        <v>31030000</v>
      </c>
      <c r="D73" s="125">
        <f>4200+11000-12200</f>
        <v>3000</v>
      </c>
      <c r="E73" s="125">
        <f>D73</f>
        <v>3000</v>
      </c>
      <c r="F73" s="416">
        <v>4618.99</v>
      </c>
      <c r="G73" s="112" t="e">
        <f>#N/A</f>
        <v>#N/A</v>
      </c>
      <c r="H73" s="114"/>
      <c r="I73" s="117" t="e">
        <f>#N/A</f>
        <v>#N/A</v>
      </c>
      <c r="J73" s="117">
        <f>F73/D73*100</f>
        <v>153.96633333333332</v>
      </c>
      <c r="K73" s="117">
        <v>619.07</v>
      </c>
      <c r="L73" s="117" t="e">
        <f>#N/A</f>
        <v>#N/A</v>
      </c>
      <c r="M73" s="147">
        <f>F73/K73</f>
        <v>7.46117563441937</v>
      </c>
      <c r="N73" s="114" t="e">
        <f>E73-#REF!</f>
        <v>#REF!</v>
      </c>
      <c r="O73" s="118" t="e">
        <f>F73-#REF!</f>
        <v>#REF!</v>
      </c>
      <c r="P73" s="117" t="e">
        <f>#N/A</f>
        <v>#N/A</v>
      </c>
      <c r="Q73" s="117" t="e">
        <f>O73/N73*100</f>
        <v>#REF!</v>
      </c>
      <c r="R73" s="31"/>
      <c r="S73" s="69"/>
      <c r="T73" s="101" t="e">
        <f>#N/A</f>
        <v>#N/A</v>
      </c>
    </row>
    <row r="74" spans="2:20" ht="18">
      <c r="B74" s="20" t="s">
        <v>29</v>
      </c>
      <c r="C74" s="58">
        <v>33010000</v>
      </c>
      <c r="D74" s="125">
        <f>7459+9700-6864</f>
        <v>10295</v>
      </c>
      <c r="E74" s="125">
        <f>D74</f>
        <v>10295</v>
      </c>
      <c r="F74" s="416">
        <v>10435.77</v>
      </c>
      <c r="G74" s="112" t="e">
        <f>#N/A</f>
        <v>#N/A</v>
      </c>
      <c r="H74" s="114">
        <f>F74/E74*100</f>
        <v>101.36736279747451</v>
      </c>
      <c r="I74" s="117" t="e">
        <f>#N/A</f>
        <v>#N/A</v>
      </c>
      <c r="J74" s="117">
        <f>F74/D74*100</f>
        <v>101.36736279747451</v>
      </c>
      <c r="K74" s="117">
        <v>8374.15</v>
      </c>
      <c r="L74" s="117" t="e">
        <f>#N/A</f>
        <v>#N/A</v>
      </c>
      <c r="M74" s="147">
        <f>F74/K74</f>
        <v>1.246188568392016</v>
      </c>
      <c r="N74" s="114" t="e">
        <f>E74-#REF!</f>
        <v>#REF!</v>
      </c>
      <c r="O74" s="118" t="e">
        <f>F74-#REF!</f>
        <v>#REF!</v>
      </c>
      <c r="P74" s="117" t="e">
        <f>#N/A</f>
        <v>#N/A</v>
      </c>
      <c r="Q74" s="117" t="e">
        <f>O74/N74*100</f>
        <v>#REF!</v>
      </c>
      <c r="R74" s="31"/>
      <c r="S74" s="69"/>
      <c r="T74" s="101" t="e">
        <f>#N/A</f>
        <v>#N/A</v>
      </c>
    </row>
    <row r="75" spans="2:20" ht="31.5">
      <c r="B75" s="20" t="s">
        <v>48</v>
      </c>
      <c r="C75" s="58">
        <v>24170000</v>
      </c>
      <c r="D75" s="125">
        <f>6000+10000-3600</f>
        <v>12400</v>
      </c>
      <c r="E75" s="125">
        <f>D75</f>
        <v>12400</v>
      </c>
      <c r="F75" s="416">
        <v>12593.19</v>
      </c>
      <c r="G75" s="112" t="e">
        <f>#N/A</f>
        <v>#N/A</v>
      </c>
      <c r="H75" s="114">
        <f>F75/E75*100</f>
        <v>101.55798387096775</v>
      </c>
      <c r="I75" s="117" t="e">
        <f>#N/A</f>
        <v>#N/A</v>
      </c>
      <c r="J75" s="117">
        <f>F75/D75*100</f>
        <v>101.55798387096775</v>
      </c>
      <c r="K75" s="117">
        <v>2315.93</v>
      </c>
      <c r="L75" s="117" t="e">
        <f>#N/A</f>
        <v>#N/A</v>
      </c>
      <c r="M75" s="147">
        <f>F75/K75</f>
        <v>5.4376384433035545</v>
      </c>
      <c r="N75" s="114" t="e">
        <f>E75-#REF!</f>
        <v>#REF!</v>
      </c>
      <c r="O75" s="118" t="e">
        <f>F75-#REF!</f>
        <v>#REF!</v>
      </c>
      <c r="P75" s="117" t="e">
        <f>#N/A</f>
        <v>#N/A</v>
      </c>
      <c r="Q75" s="117" t="e">
        <f>O75/N75*100</f>
        <v>#REF!</v>
      </c>
      <c r="R75" s="31"/>
      <c r="S75" s="69"/>
      <c r="T75" s="101" t="e">
        <f>#N/A</f>
        <v>#N/A</v>
      </c>
    </row>
    <row r="76" spans="2:20" ht="18">
      <c r="B76" s="20" t="s">
        <v>88</v>
      </c>
      <c r="C76" s="58">
        <v>24110700</v>
      </c>
      <c r="D76" s="125">
        <v>12</v>
      </c>
      <c r="E76" s="125">
        <f>D76</f>
        <v>12</v>
      </c>
      <c r="F76" s="416">
        <v>13</v>
      </c>
      <c r="G76" s="112" t="e">
        <f>#N/A</f>
        <v>#N/A</v>
      </c>
      <c r="H76" s="114">
        <f>F76/E76*100</f>
        <v>108.33333333333333</v>
      </c>
      <c r="I76" s="117" t="e">
        <f>#N/A</f>
        <v>#N/A</v>
      </c>
      <c r="J76" s="117">
        <f>F76/D76*100</f>
        <v>108.33333333333333</v>
      </c>
      <c r="K76" s="117">
        <v>0</v>
      </c>
      <c r="L76" s="117" t="e">
        <f>#N/A</f>
        <v>#N/A</v>
      </c>
      <c r="M76" s="147"/>
      <c r="N76" s="114" t="e">
        <f>E76-#REF!</f>
        <v>#REF!</v>
      </c>
      <c r="O76" s="118" t="e">
        <f>F76-#REF!</f>
        <v>#REF!</v>
      </c>
      <c r="P76" s="117" t="e">
        <f>#N/A</f>
        <v>#N/A</v>
      </c>
      <c r="Q76" s="117" t="e">
        <f>O76/N76*100</f>
        <v>#REF!</v>
      </c>
      <c r="R76" s="31"/>
      <c r="S76" s="421"/>
      <c r="T76" s="101" t="e">
        <f>#N/A</f>
        <v>#N/A</v>
      </c>
    </row>
    <row r="77" spans="2:20" ht="33">
      <c r="B77" s="22" t="s">
        <v>46</v>
      </c>
      <c r="C77" s="53"/>
      <c r="D77" s="127">
        <f>D73+D74+D75+D76</f>
        <v>25707</v>
      </c>
      <c r="E77" s="127">
        <f>E73+E74+E75+E76</f>
        <v>25707</v>
      </c>
      <c r="F77" s="418">
        <f>F73+F74+F75+F76</f>
        <v>27660.95</v>
      </c>
      <c r="G77" s="129" t="e">
        <f>#N/A</f>
        <v>#N/A</v>
      </c>
      <c r="H77" s="130">
        <f>F77/E77*100</f>
        <v>107.60084801804956</v>
      </c>
      <c r="I77" s="131" t="e">
        <f>#N/A</f>
        <v>#N/A</v>
      </c>
      <c r="J77" s="131">
        <f>F77/D77*100</f>
        <v>107.60084801804956</v>
      </c>
      <c r="K77" s="131">
        <v>11309.15</v>
      </c>
      <c r="L77" s="131" t="e">
        <f>#N/A</f>
        <v>#N/A</v>
      </c>
      <c r="M77" s="151">
        <f>F77/K77</f>
        <v>2.445891158928832</v>
      </c>
      <c r="N77" s="129" t="e">
        <f>N73+N74+N75+N76</f>
        <v>#REF!</v>
      </c>
      <c r="O77" s="133" t="e">
        <f>O73+O74+O75+O76</f>
        <v>#REF!</v>
      </c>
      <c r="P77" s="131" t="e">
        <f>#N/A</f>
        <v>#N/A</v>
      </c>
      <c r="Q77" s="131" t="e">
        <f>O77/N77*100</f>
        <v>#REF!</v>
      </c>
      <c r="R77" s="419"/>
      <c r="S77" s="422"/>
      <c r="T77" s="101" t="e">
        <f>#N/A</f>
        <v>#N/A</v>
      </c>
    </row>
    <row r="78" spans="2:20" ht="46.5">
      <c r="B78" s="12" t="s">
        <v>35</v>
      </c>
      <c r="C78" s="60">
        <v>24062100</v>
      </c>
      <c r="D78" s="125">
        <f>1+49</f>
        <v>50</v>
      </c>
      <c r="E78" s="125">
        <f>D78</f>
        <v>50</v>
      </c>
      <c r="F78" s="416">
        <v>69.99</v>
      </c>
      <c r="G78" s="112" t="e">
        <f>#N/A</f>
        <v>#N/A</v>
      </c>
      <c r="H78" s="114"/>
      <c r="I78" s="117" t="e">
        <f>#N/A</f>
        <v>#N/A</v>
      </c>
      <c r="J78" s="117"/>
      <c r="K78" s="117">
        <v>1.07</v>
      </c>
      <c r="L78" s="117" t="e">
        <f>#N/A</f>
        <v>#N/A</v>
      </c>
      <c r="M78" s="147">
        <f>F78/K78</f>
        <v>65.41121495327101</v>
      </c>
      <c r="N78" s="114" t="e">
        <f>E78-#REF!</f>
        <v>#REF!</v>
      </c>
      <c r="O78" s="118" t="e">
        <f>F78-#REF!</f>
        <v>#REF!</v>
      </c>
      <c r="P78" s="117" t="e">
        <f>#N/A</f>
        <v>#N/A</v>
      </c>
      <c r="Q78" s="117"/>
      <c r="R78" s="31"/>
      <c r="S78" s="69"/>
      <c r="T78" s="101" t="e">
        <f>#N/A</f>
        <v>#N/A</v>
      </c>
    </row>
    <row r="79" spans="2:20" ht="18" hidden="1">
      <c r="B79" s="20" t="s">
        <v>47</v>
      </c>
      <c r="C79" s="58">
        <v>24061600</v>
      </c>
      <c r="D79" s="125">
        <v>0</v>
      </c>
      <c r="E79" s="125">
        <v>0</v>
      </c>
      <c r="F79" s="416">
        <v>0</v>
      </c>
      <c r="G79" s="112" t="e">
        <f>#N/A</f>
        <v>#N/A</v>
      </c>
      <c r="H79" s="114"/>
      <c r="I79" s="117" t="e">
        <f>#N/A</f>
        <v>#N/A</v>
      </c>
      <c r="J79" s="134"/>
      <c r="K79" s="117">
        <v>0</v>
      </c>
      <c r="L79" s="117" t="e">
        <f>#N/A</f>
        <v>#N/A</v>
      </c>
      <c r="M79" s="147" t="e">
        <f>F79/K79</f>
        <v>#DIV/0!</v>
      </c>
      <c r="N79" s="114" t="e">
        <f>E79-#REF!</f>
        <v>#REF!</v>
      </c>
      <c r="O79" s="118" t="e">
        <f>F79-#REF!</f>
        <v>#REF!</v>
      </c>
      <c r="P79" s="117" t="e">
        <f>#N/A</f>
        <v>#N/A</v>
      </c>
      <c r="Q79" s="134"/>
      <c r="R79" s="423"/>
      <c r="S79" s="424"/>
      <c r="T79" s="101" t="e">
        <f>#N/A</f>
        <v>#N/A</v>
      </c>
    </row>
    <row r="80" spans="2:20" ht="18">
      <c r="B80" s="20" t="s">
        <v>41</v>
      </c>
      <c r="C80" s="58">
        <v>19010000</v>
      </c>
      <c r="D80" s="125">
        <f>9500-1150</f>
        <v>8350</v>
      </c>
      <c r="E80" s="125">
        <f>D80</f>
        <v>8350</v>
      </c>
      <c r="F80" s="416">
        <v>8352.68</v>
      </c>
      <c r="G80" s="112" t="e">
        <f>#N/A</f>
        <v>#N/A</v>
      </c>
      <c r="H80" s="114">
        <f>F80/E80*100</f>
        <v>100.03209580838323</v>
      </c>
      <c r="I80" s="117" t="e">
        <f>#N/A</f>
        <v>#N/A</v>
      </c>
      <c r="J80" s="117">
        <f>F80/D80*100</f>
        <v>100.03209580838323</v>
      </c>
      <c r="K80" s="117">
        <v>0</v>
      </c>
      <c r="L80" s="117" t="e">
        <f>#N/A</f>
        <v>#N/A</v>
      </c>
      <c r="M80" s="147"/>
      <c r="N80" s="114" t="e">
        <f>E80-#REF!</f>
        <v>#REF!</v>
      </c>
      <c r="O80" s="118" t="e">
        <f>F80-#REF!</f>
        <v>#REF!</v>
      </c>
      <c r="P80" s="117" t="e">
        <f>O80-N80</f>
        <v>#REF!</v>
      </c>
      <c r="Q80" s="134" t="e">
        <f>O80/N80*100</f>
        <v>#REF!</v>
      </c>
      <c r="R80" s="423"/>
      <c r="S80" s="424"/>
      <c r="T80" s="101" t="e">
        <f>#N/A</f>
        <v>#N/A</v>
      </c>
    </row>
    <row r="81" spans="2:20" ht="31.5">
      <c r="B81" s="20" t="s">
        <v>45</v>
      </c>
      <c r="C81" s="58">
        <v>19050000</v>
      </c>
      <c r="D81" s="125">
        <v>0</v>
      </c>
      <c r="E81" s="125">
        <f>D81</f>
        <v>0</v>
      </c>
      <c r="F81" s="416">
        <v>1.48</v>
      </c>
      <c r="G81" s="112" t="e">
        <f>#N/A</f>
        <v>#N/A</v>
      </c>
      <c r="H81" s="114"/>
      <c r="I81" s="117" t="e">
        <f>#N/A</f>
        <v>#N/A</v>
      </c>
      <c r="J81" s="117"/>
      <c r="K81" s="117">
        <v>1.43</v>
      </c>
      <c r="L81" s="117" t="e">
        <f>#N/A</f>
        <v>#N/A</v>
      </c>
      <c r="M81" s="147">
        <f>F81/K81</f>
        <v>1.034965034965035</v>
      </c>
      <c r="N81" s="114" t="e">
        <f>E81-#REF!</f>
        <v>#REF!</v>
      </c>
      <c r="O81" s="118" t="e">
        <f>F81-#REF!</f>
        <v>#REF!</v>
      </c>
      <c r="P81" s="117" t="e">
        <f>#N/A</f>
        <v>#N/A</v>
      </c>
      <c r="Q81" s="117"/>
      <c r="R81" s="31"/>
      <c r="S81" s="69"/>
      <c r="T81" s="101" t="e">
        <f>#N/A</f>
        <v>#N/A</v>
      </c>
    </row>
    <row r="82" spans="2:20" ht="30">
      <c r="B82" s="22" t="s">
        <v>42</v>
      </c>
      <c r="C82" s="58"/>
      <c r="D82" s="127">
        <f>D78+D81+D79+D80</f>
        <v>8400</v>
      </c>
      <c r="E82" s="127">
        <f>E78+E81+E79+E80</f>
        <v>8400</v>
      </c>
      <c r="F82" s="418">
        <f>F78+F81+F79+F80</f>
        <v>8424.15</v>
      </c>
      <c r="G82" s="127" t="e">
        <f>G78+G81+G79+G80</f>
        <v>#N/A</v>
      </c>
      <c r="H82" s="130">
        <f>F82/E82*100</f>
        <v>100.2875</v>
      </c>
      <c r="I82" s="131" t="e">
        <f>#N/A</f>
        <v>#N/A</v>
      </c>
      <c r="J82" s="131">
        <f>F82/D82*100</f>
        <v>100.2875</v>
      </c>
      <c r="K82" s="131">
        <v>2.5</v>
      </c>
      <c r="L82" s="131" t="e">
        <f>#N/A</f>
        <v>#N/A</v>
      </c>
      <c r="M82" s="425">
        <f>F82/K82</f>
        <v>3369.66</v>
      </c>
      <c r="N82" s="129" t="e">
        <f>N78+N81+N79+N80</f>
        <v>#REF!</v>
      </c>
      <c r="O82" s="133" t="e">
        <f>O78+O81+O79+O80</f>
        <v>#REF!</v>
      </c>
      <c r="P82" s="129" t="e">
        <f>P78+P81+P79+P80</f>
        <v>#N/A</v>
      </c>
      <c r="Q82" s="131" t="e">
        <f>O82/N82*100</f>
        <v>#REF!</v>
      </c>
      <c r="R82" s="419"/>
      <c r="S82" s="68"/>
      <c r="T82" s="101" t="e">
        <f>#N/A</f>
        <v>#N/A</v>
      </c>
    </row>
    <row r="83" spans="2:20" ht="30.75">
      <c r="B83" s="12" t="s">
        <v>36</v>
      </c>
      <c r="C83" s="34">
        <v>24110900</v>
      </c>
      <c r="D83" s="125">
        <f>43-16</f>
        <v>27</v>
      </c>
      <c r="E83" s="125">
        <f>D83</f>
        <v>27</v>
      </c>
      <c r="F83" s="416">
        <v>35.33</v>
      </c>
      <c r="G83" s="112" t="e">
        <f>#N/A</f>
        <v>#N/A</v>
      </c>
      <c r="H83" s="114">
        <f>F83/E83*100</f>
        <v>130.85185185185185</v>
      </c>
      <c r="I83" s="117" t="e">
        <f>#N/A</f>
        <v>#N/A</v>
      </c>
      <c r="J83" s="117">
        <f>F83/D83*100</f>
        <v>130.85185185185185</v>
      </c>
      <c r="K83" s="117">
        <v>38.99</v>
      </c>
      <c r="L83" s="117" t="e">
        <f>#N/A</f>
        <v>#N/A</v>
      </c>
      <c r="M83" s="147">
        <f>F83/K83</f>
        <v>0.9061297768658629</v>
      </c>
      <c r="N83" s="114" t="e">
        <f>E83-#REF!</f>
        <v>#REF!</v>
      </c>
      <c r="O83" s="118" t="e">
        <f>F83-#REF!</f>
        <v>#REF!</v>
      </c>
      <c r="P83" s="117" t="e">
        <f>#N/A</f>
        <v>#N/A</v>
      </c>
      <c r="Q83" s="117" t="e">
        <f>O83/N83</f>
        <v>#REF!</v>
      </c>
      <c r="R83" s="31"/>
      <c r="S83" s="69"/>
      <c r="T83" s="101" t="e">
        <f>#N/A</f>
        <v>#N/A</v>
      </c>
    </row>
    <row r="84" spans="2:20" ht="18" hidden="1">
      <c r="B84" s="83"/>
      <c r="C84" s="34"/>
      <c r="D84" s="125"/>
      <c r="E84" s="125"/>
      <c r="F84" s="416"/>
      <c r="G84" s="112"/>
      <c r="H84" s="114"/>
      <c r="I84" s="117"/>
      <c r="J84" s="117"/>
      <c r="K84" s="117">
        <v>0</v>
      </c>
      <c r="L84" s="117"/>
      <c r="M84" s="117"/>
      <c r="N84" s="114" t="e">
        <f>E84-#REF!</f>
        <v>#REF!</v>
      </c>
      <c r="O84" s="118" t="e">
        <f>F84-#REF!</f>
        <v>#REF!</v>
      </c>
      <c r="P84" s="117" t="e">
        <f>#N/A</f>
        <v>#N/A</v>
      </c>
      <c r="Q84" s="117"/>
      <c r="R84" s="31"/>
      <c r="S84" s="69"/>
      <c r="T84" s="101" t="e">
        <f>#N/A</f>
        <v>#N/A</v>
      </c>
    </row>
    <row r="85" spans="2:20" ht="23.25" customHeight="1">
      <c r="B85" s="13" t="s">
        <v>30</v>
      </c>
      <c r="C85" s="294"/>
      <c r="D85" s="295">
        <f>D71+D83+D77+D82</f>
        <v>34134</v>
      </c>
      <c r="E85" s="295">
        <f>E71+E83+E77+E82</f>
        <v>34134</v>
      </c>
      <c r="F85" s="426">
        <f>F71+F83+F77+F82+F84</f>
        <v>36110.25</v>
      </c>
      <c r="G85" s="296">
        <f>F85-E85</f>
        <v>1976.25</v>
      </c>
      <c r="H85" s="297">
        <f>F85/E85*100</f>
        <v>105.78968184215152</v>
      </c>
      <c r="I85" s="135">
        <f>F85-D85</f>
        <v>1976.25</v>
      </c>
      <c r="J85" s="135">
        <f>F85/D85*100</f>
        <v>105.78968184215152</v>
      </c>
      <c r="K85" s="135">
        <v>11294.63</v>
      </c>
      <c r="L85" s="135">
        <f>F85-K85</f>
        <v>24815.620000000003</v>
      </c>
      <c r="M85" s="298">
        <f>F85/K85</f>
        <v>3.1971166828838133</v>
      </c>
      <c r="N85" s="295" t="e">
        <f>N71+N83+N77+N82</f>
        <v>#REF!</v>
      </c>
      <c r="O85" s="295" t="e">
        <f>O71+O83+O77+O82+O84</f>
        <v>#REF!</v>
      </c>
      <c r="P85" s="135" t="e">
        <f>#N/A</f>
        <v>#N/A</v>
      </c>
      <c r="Q85" s="135" t="e">
        <f>O85/N85*100</f>
        <v>#REF!</v>
      </c>
      <c r="R85" s="409" t="e">
        <f>O85-8104.96</f>
        <v>#REF!</v>
      </c>
      <c r="S85" s="427" t="e">
        <f>O85/8104.96</f>
        <v>#REF!</v>
      </c>
      <c r="T85" s="101" t="e">
        <f>#N/A</f>
        <v>#N/A</v>
      </c>
    </row>
    <row r="86" spans="2:20" ht="17.25">
      <c r="B86" s="302" t="s">
        <v>200</v>
      </c>
      <c r="C86" s="294"/>
      <c r="D86" s="295">
        <f>D64+D85</f>
        <v>1076859.73</v>
      </c>
      <c r="E86" s="295" t="e">
        <f>E64+E85</f>
        <v>#N/A</v>
      </c>
      <c r="F86" s="426">
        <f>F64+F85</f>
        <v>1089679.7600000002</v>
      </c>
      <c r="G86" s="296" t="e">
        <f>F86-E86</f>
        <v>#N/A</v>
      </c>
      <c r="H86" s="297" t="e">
        <f>F86/E86*100</f>
        <v>#N/A</v>
      </c>
      <c r="I86" s="135">
        <f>F86-D86</f>
        <v>12820.03000000026</v>
      </c>
      <c r="J86" s="135">
        <f>F86/D86*100</f>
        <v>101.19050138498542</v>
      </c>
      <c r="K86" s="135">
        <f>K64+K85</f>
        <v>734695.25</v>
      </c>
      <c r="L86" s="135">
        <f>F86-K86</f>
        <v>354984.51000000024</v>
      </c>
      <c r="M86" s="298">
        <f>F86/K86</f>
        <v>1.4831724582403387</v>
      </c>
      <c r="N86" s="296" t="e">
        <f>N64+N85</f>
        <v>#REF!</v>
      </c>
      <c r="O86" s="296" t="e">
        <f>O64+O85</f>
        <v>#REF!</v>
      </c>
      <c r="P86" s="135" t="e">
        <f>#N/A</f>
        <v>#N/A</v>
      </c>
      <c r="Q86" s="135" t="e">
        <f>O86/N86*100</f>
        <v>#REF!</v>
      </c>
      <c r="R86" s="409" t="e">
        <f>O86-42872.96</f>
        <v>#REF!</v>
      </c>
      <c r="S86" s="427" t="e">
        <f>O86/42872.96</f>
        <v>#REF!</v>
      </c>
      <c r="T86" s="101" t="e">
        <f>#N/A</f>
        <v>#N/A</v>
      </c>
    </row>
    <row r="87" spans="2:20" ht="15" hidden="1">
      <c r="B87" s="262" t="s">
        <v>159</v>
      </c>
      <c r="O87" s="263"/>
      <c r="T87" s="101" t="e">
        <f>#N/A</f>
        <v>#N/A</v>
      </c>
    </row>
    <row r="88" spans="2:20" ht="15" hidden="1">
      <c r="B88" s="4" t="s">
        <v>160</v>
      </c>
      <c r="C88" s="264">
        <v>0</v>
      </c>
      <c r="D88" s="4" t="s">
        <v>161</v>
      </c>
      <c r="O88" s="265"/>
      <c r="T88" s="101" t="e">
        <f>#N/A</f>
        <v>#N/A</v>
      </c>
    </row>
    <row r="89" spans="2:20" ht="30.75" hidden="1">
      <c r="B89" s="266" t="s">
        <v>162</v>
      </c>
      <c r="C89" s="267" t="e">
        <f>IF(P64&lt;0,ABS(P64/C88),0)</f>
        <v>#REF!</v>
      </c>
      <c r="D89" s="4" t="s">
        <v>24</v>
      </c>
      <c r="G89" s="512"/>
      <c r="H89" s="512"/>
      <c r="I89" s="512"/>
      <c r="J89" s="512"/>
      <c r="K89" s="268"/>
      <c r="L89" s="268"/>
      <c r="M89" s="268"/>
      <c r="Q89" s="263"/>
      <c r="R89" s="263"/>
      <c r="T89" s="101" t="e">
        <f>#N/A</f>
        <v>#N/A</v>
      </c>
    </row>
    <row r="90" spans="2:20" ht="34.5" customHeight="1" hidden="1">
      <c r="B90" s="270" t="s">
        <v>163</v>
      </c>
      <c r="C90" s="271">
        <v>42734</v>
      </c>
      <c r="D90" s="267">
        <v>1029.4</v>
      </c>
      <c r="G90" s="4" t="s">
        <v>164</v>
      </c>
      <c r="O90" s="513"/>
      <c r="P90" s="513"/>
      <c r="T90" s="101" t="e">
        <f>#N/A</f>
        <v>#N/A</v>
      </c>
    </row>
    <row r="91" spans="3:16" ht="15" hidden="1">
      <c r="C91" s="271">
        <v>42733</v>
      </c>
      <c r="D91" s="267">
        <v>10489.6</v>
      </c>
      <c r="F91" s="428" t="s">
        <v>164</v>
      </c>
      <c r="G91" s="500"/>
      <c r="H91" s="500"/>
      <c r="I91" s="273"/>
      <c r="J91" s="518"/>
      <c r="K91" s="518"/>
      <c r="L91" s="518"/>
      <c r="M91" s="518"/>
      <c r="N91" s="518"/>
      <c r="O91" s="513"/>
      <c r="P91" s="513"/>
    </row>
    <row r="92" spans="3:16" ht="15.75" customHeight="1" hidden="1">
      <c r="C92" s="271">
        <v>42732</v>
      </c>
      <c r="D92" s="267">
        <v>19085.6</v>
      </c>
      <c r="F92" s="429"/>
      <c r="G92" s="500"/>
      <c r="H92" s="500"/>
      <c r="I92" s="273"/>
      <c r="J92" s="519"/>
      <c r="K92" s="519"/>
      <c r="L92" s="519"/>
      <c r="M92" s="519"/>
      <c r="N92" s="519"/>
      <c r="O92" s="513"/>
      <c r="P92" s="513"/>
    </row>
    <row r="93" spans="3:14" ht="15.75" customHeight="1" hidden="1">
      <c r="C93" s="271"/>
      <c r="F93" s="429"/>
      <c r="G93" s="501"/>
      <c r="H93" s="501"/>
      <c r="I93" s="279"/>
      <c r="J93" s="518"/>
      <c r="K93" s="518"/>
      <c r="L93" s="518"/>
      <c r="M93" s="518"/>
      <c r="N93" s="518"/>
    </row>
    <row r="94" spans="2:14" ht="18.75" customHeight="1" hidden="1">
      <c r="B94" s="502" t="s">
        <v>165</v>
      </c>
      <c r="C94" s="503"/>
      <c r="D94" s="280" t="e">
        <f>'[3]ЧТКЕ'!$G$6/1000</f>
        <v>#VALUE!</v>
      </c>
      <c r="E94" s="281"/>
      <c r="F94" s="430" t="s">
        <v>166</v>
      </c>
      <c r="G94" s="500"/>
      <c r="H94" s="500"/>
      <c r="I94" s="283"/>
      <c r="J94" s="518"/>
      <c r="K94" s="518"/>
      <c r="L94" s="518"/>
      <c r="M94" s="518"/>
      <c r="N94" s="518"/>
    </row>
    <row r="95" spans="6:13" ht="9" customHeight="1" hidden="1">
      <c r="F95" s="429"/>
      <c r="G95" s="500"/>
      <c r="H95" s="500"/>
      <c r="I95" s="278"/>
      <c r="J95" s="281"/>
      <c r="K95" s="281"/>
      <c r="L95" s="281"/>
      <c r="M95" s="281"/>
    </row>
    <row r="96" spans="2:13" ht="22.5" customHeight="1" hidden="1">
      <c r="B96" s="499" t="s">
        <v>167</v>
      </c>
      <c r="C96" s="514"/>
      <c r="D96" s="285">
        <v>0</v>
      </c>
      <c r="E96" s="286" t="s">
        <v>24</v>
      </c>
      <c r="F96" s="429"/>
      <c r="G96" s="500"/>
      <c r="H96" s="500"/>
      <c r="I96" s="278"/>
      <c r="J96" s="281"/>
      <c r="K96" s="281"/>
      <c r="L96" s="281"/>
      <c r="M96" s="281"/>
    </row>
    <row r="97" spans="2:16" ht="15" hidden="1">
      <c r="B97" s="4" t="s">
        <v>201</v>
      </c>
      <c r="D97" s="278">
        <f>D45+D48+D49</f>
        <v>1019</v>
      </c>
      <c r="E97" s="278" t="e">
        <f>E45+E48+E49</f>
        <v>#N/A</v>
      </c>
      <c r="F97" s="431">
        <f>F45+F48+F49</f>
        <v>1136.9399999999998</v>
      </c>
      <c r="G97" s="278" t="e">
        <f>G45+G48+G49</f>
        <v>#N/A</v>
      </c>
      <c r="H97" s="281"/>
      <c r="I97" s="281"/>
      <c r="N97" s="267" t="e">
        <f>N45+N48+N49</f>
        <v>#N/A</v>
      </c>
      <c r="O97" s="432" t="e">
        <f>O45+O48+O49</f>
        <v>#REF!</v>
      </c>
      <c r="P97" s="267" t="e">
        <f>P45+P48+P49</f>
        <v>#N/A</v>
      </c>
    </row>
    <row r="98" spans="4:16" ht="15" hidden="1">
      <c r="D98" s="265"/>
      <c r="I98" s="267"/>
      <c r="O98" s="520"/>
      <c r="P98" s="520"/>
    </row>
    <row r="99" spans="2:17" ht="15" hidden="1">
      <c r="B99" s="4" t="s">
        <v>169</v>
      </c>
      <c r="D99" s="267">
        <f>D9+D15+D17+D18+D19+D20+D39+D42+D56+D62+D63</f>
        <v>975925.6500000001</v>
      </c>
      <c r="E99" s="267" t="e">
        <f>E9+E15+E17+E18+E19+E20+E39+E42+E56+E62+E63</f>
        <v>#N/A</v>
      </c>
      <c r="F99" s="433">
        <f>F9+F15+F17+F18+F19+F20+F39+F42+F56+F62+F63</f>
        <v>985370.43</v>
      </c>
      <c r="G99" s="267" t="e">
        <f>F99-E99</f>
        <v>#N/A</v>
      </c>
      <c r="H99" s="163" t="e">
        <f>F99/E99</f>
        <v>#N/A</v>
      </c>
      <c r="I99" s="267">
        <f>F99-D99</f>
        <v>9444.779999999912</v>
      </c>
      <c r="J99" s="163">
        <f>F99/D99</f>
        <v>1.009677765924074</v>
      </c>
      <c r="N99" s="267" t="e">
        <f>N9+N15+N17+N18+N19+N20+N39+N42+N44+N56+N62+N63</f>
        <v>#REF!</v>
      </c>
      <c r="O99" s="289" t="e">
        <f>O9+O15+O17+O18+O19+O20+O39+O42+O44+O56+O62+O63</f>
        <v>#REF!</v>
      </c>
      <c r="P99" s="267" t="e">
        <f>O99-N99</f>
        <v>#REF!</v>
      </c>
      <c r="Q99" s="163" t="e">
        <f>O99/N99</f>
        <v>#REF!</v>
      </c>
    </row>
    <row r="100" spans="2:17" ht="15" hidden="1">
      <c r="B100" s="4" t="s">
        <v>170</v>
      </c>
      <c r="D100" s="267">
        <f>D40+D41+D43+D45+D47+D48+D49+D50+D51+D57+D61+D44</f>
        <v>66800.08</v>
      </c>
      <c r="E100" s="267" t="e">
        <f>E40+E41+E43+E45+E47+E48+E49+E50+E51+E57+E61+E44</f>
        <v>#N/A</v>
      </c>
      <c r="F100" s="433">
        <f>F40+F41+F43+F45+F47+F48+F49+F50+F51+F57+F61+F44</f>
        <v>68199.08</v>
      </c>
      <c r="G100" s="267" t="e">
        <f>G40+G41+G43+G45+G47+G48+G49+G50+G51+G57+G61+G44</f>
        <v>#N/A</v>
      </c>
      <c r="H100" s="163" t="e">
        <f>F100/E100</f>
        <v>#N/A</v>
      </c>
      <c r="I100" s="267" t="e">
        <f>I40+I41+I43+I45+I47+I48+I49+I50+I51+I57+I61+I44</f>
        <v>#N/A</v>
      </c>
      <c r="J100" s="163">
        <f>F100/D100</f>
        <v>1.0209430886909117</v>
      </c>
      <c r="K100" s="267" t="e">
        <f>#N/A</f>
        <v>#N/A</v>
      </c>
      <c r="L100" s="267" t="e">
        <f>#N/A</f>
        <v>#N/A</v>
      </c>
      <c r="M100" s="267" t="e">
        <f>#N/A</f>
        <v>#N/A</v>
      </c>
      <c r="N100" s="267" t="e">
        <f>#N/A</f>
        <v>#N/A</v>
      </c>
      <c r="O100" s="289" t="e">
        <f>#N/A</f>
        <v>#N/A</v>
      </c>
      <c r="P100" s="267" t="e">
        <f>#N/A</f>
        <v>#N/A</v>
      </c>
      <c r="Q100" s="163" t="e">
        <f>O100/N100</f>
        <v>#N/A</v>
      </c>
    </row>
    <row r="101" spans="2:17" ht="15" hidden="1">
      <c r="B101" s="4" t="s">
        <v>171</v>
      </c>
      <c r="D101" s="267">
        <f>SUM(D99:D100)</f>
        <v>1042725.7300000001</v>
      </c>
      <c r="E101" s="267" t="e">
        <f>#N/A</f>
        <v>#N/A</v>
      </c>
      <c r="F101" s="433" t="e">
        <f>#N/A</f>
        <v>#N/A</v>
      </c>
      <c r="G101" s="267" t="e">
        <f>#N/A</f>
        <v>#N/A</v>
      </c>
      <c r="H101" s="163" t="e">
        <f>F101/E101</f>
        <v>#N/A</v>
      </c>
      <c r="I101" s="267" t="e">
        <f>#N/A</f>
        <v>#N/A</v>
      </c>
      <c r="J101" s="163" t="e">
        <f>F101/D101</f>
        <v>#N/A</v>
      </c>
      <c r="K101" s="267" t="e">
        <f>#N/A</f>
        <v>#N/A</v>
      </c>
      <c r="L101" s="267" t="e">
        <f>#N/A</f>
        <v>#N/A</v>
      </c>
      <c r="M101" s="267" t="e">
        <f>#N/A</f>
        <v>#N/A</v>
      </c>
      <c r="N101" s="267" t="e">
        <f>#N/A</f>
        <v>#N/A</v>
      </c>
      <c r="O101" s="289" t="e">
        <f>#N/A</f>
        <v>#N/A</v>
      </c>
      <c r="P101" s="267" t="e">
        <f>#N/A</f>
        <v>#N/A</v>
      </c>
      <c r="Q101" s="163" t="e">
        <f>O101/N101</f>
        <v>#N/A</v>
      </c>
    </row>
    <row r="102" spans="4:21" ht="15" hidden="1">
      <c r="D102" s="267">
        <f>D64-D101</f>
        <v>0</v>
      </c>
      <c r="E102" s="267" t="e">
        <f>#N/A</f>
        <v>#N/A</v>
      </c>
      <c r="F102" s="265" t="e">
        <f>#N/A</f>
        <v>#N/A</v>
      </c>
      <c r="G102" s="267" t="e">
        <f>#N/A</f>
        <v>#N/A</v>
      </c>
      <c r="H102" s="163"/>
      <c r="I102" s="267" t="e">
        <f>#N/A</f>
        <v>#N/A</v>
      </c>
      <c r="J102" s="163"/>
      <c r="K102" s="267" t="e">
        <f>#N/A</f>
        <v>#N/A</v>
      </c>
      <c r="L102" s="267" t="e">
        <f>#N/A</f>
        <v>#N/A</v>
      </c>
      <c r="M102" s="267" t="e">
        <f>#N/A</f>
        <v>#N/A</v>
      </c>
      <c r="N102" s="267" t="e">
        <f>#N/A</f>
        <v>#N/A</v>
      </c>
      <c r="O102" s="267" t="e">
        <f>#N/A</f>
        <v>#N/A</v>
      </c>
      <c r="P102" s="267" t="e">
        <f>#N/A</f>
        <v>#N/A</v>
      </c>
      <c r="Q102" s="267"/>
      <c r="R102" s="267" t="e">
        <f>#N/A</f>
        <v>#N/A</v>
      </c>
      <c r="S102" s="267" t="e">
        <f>#N/A</f>
        <v>#N/A</v>
      </c>
      <c r="T102" s="267" t="e">
        <f>#N/A</f>
        <v>#N/A</v>
      </c>
      <c r="U102" s="267" t="e">
        <f>#N/A</f>
        <v>#N/A</v>
      </c>
    </row>
    <row r="103" ht="15" hidden="1">
      <c r="E103" s="4" t="s">
        <v>164</v>
      </c>
    </row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.7086614173228347" top="0" bottom="0" header="0" footer="0"/>
  <pageSetup fitToHeight="1" fitToWidth="1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71"/>
  <sheetViews>
    <sheetView zoomScale="63" zoomScaleNormal="63" zoomScalePageLayoutView="0" workbookViewId="0" topLeftCell="B1">
      <pane xSplit="3" ySplit="8" topLeftCell="E38" activePane="bottomRight" state="frozen"/>
      <selection pane="topLeft" activeCell="B1" sqref="B1"/>
      <selection pane="topRight" activeCell="E1" sqref="E1"/>
      <selection pane="bottomLeft" activeCell="B9" sqref="B9"/>
      <selection pane="bottomRight" activeCell="V47" sqref="V4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customWidth="1"/>
    <col min="19" max="19" width="12.25390625" style="4" customWidth="1"/>
    <col min="20" max="20" width="14.25390625" style="4" customWidth="1"/>
    <col min="21" max="21" width="12.00390625" style="4" customWidth="1"/>
    <col min="22" max="22" width="12.25390625" style="4" customWidth="1"/>
    <col min="23" max="23" width="14.50390625" style="4" customWidth="1"/>
    <col min="24" max="24" width="12.75390625" style="4" customWidth="1"/>
    <col min="25" max="25" width="11.375" style="186" customWidth="1"/>
    <col min="26" max="26" width="9.125" style="4" customWidth="1"/>
    <col min="27" max="16384" width="9.125" style="4" customWidth="1"/>
  </cols>
  <sheetData>
    <row r="1" spans="1:25" s="1" customFormat="1" ht="26.25" customHeight="1">
      <c r="A1" s="504" t="s">
        <v>259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186"/>
    </row>
    <row r="2" spans="2:25" s="1" customFormat="1" ht="15.75" customHeight="1">
      <c r="B2" s="470"/>
      <c r="C2" s="470"/>
      <c r="D2" s="470"/>
      <c r="E2" s="470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71"/>
      <c r="B3" s="473"/>
      <c r="C3" s="474" t="s">
        <v>0</v>
      </c>
      <c r="D3" s="475" t="s">
        <v>131</v>
      </c>
      <c r="E3" s="475" t="s">
        <v>221</v>
      </c>
      <c r="F3" s="25"/>
      <c r="G3" s="476" t="s">
        <v>26</v>
      </c>
      <c r="H3" s="477"/>
      <c r="I3" s="477"/>
      <c r="J3" s="477"/>
      <c r="K3" s="478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479" t="s">
        <v>253</v>
      </c>
      <c r="V3" s="482" t="s">
        <v>254</v>
      </c>
      <c r="W3" s="482"/>
      <c r="X3" s="482"/>
      <c r="Y3" s="194"/>
    </row>
    <row r="4" spans="1:24" ht="22.5" customHeight="1">
      <c r="A4" s="471"/>
      <c r="B4" s="473"/>
      <c r="C4" s="474"/>
      <c r="D4" s="475"/>
      <c r="E4" s="475"/>
      <c r="F4" s="483" t="s">
        <v>249</v>
      </c>
      <c r="G4" s="485" t="s">
        <v>31</v>
      </c>
      <c r="H4" s="487" t="s">
        <v>250</v>
      </c>
      <c r="I4" s="480" t="s">
        <v>251</v>
      </c>
      <c r="J4" s="487" t="s">
        <v>132</v>
      </c>
      <c r="K4" s="480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0"/>
      <c r="V4" s="489" t="s">
        <v>258</v>
      </c>
      <c r="W4" s="487" t="s">
        <v>44</v>
      </c>
      <c r="X4" s="491" t="s">
        <v>43</v>
      </c>
    </row>
    <row r="5" spans="1:24" ht="67.5" customHeight="1">
      <c r="A5" s="472"/>
      <c r="B5" s="473"/>
      <c r="C5" s="474"/>
      <c r="D5" s="475"/>
      <c r="E5" s="475"/>
      <c r="F5" s="484"/>
      <c r="G5" s="486"/>
      <c r="H5" s="488"/>
      <c r="I5" s="481"/>
      <c r="J5" s="488"/>
      <c r="K5" s="481"/>
      <c r="L5" s="492" t="s">
        <v>135</v>
      </c>
      <c r="M5" s="493"/>
      <c r="N5" s="494"/>
      <c r="O5" s="495" t="s">
        <v>210</v>
      </c>
      <c r="P5" s="496"/>
      <c r="Q5" s="497"/>
      <c r="R5" s="498" t="s">
        <v>252</v>
      </c>
      <c r="S5" s="498"/>
      <c r="T5" s="498"/>
      <c r="U5" s="481"/>
      <c r="V5" s="490"/>
      <c r="W5" s="488"/>
      <c r="X5" s="491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1603250.9</v>
      </c>
      <c r="F8" s="103">
        <f>F9+F15+F18+F19+F23+F17</f>
        <v>876735.25</v>
      </c>
      <c r="G8" s="103">
        <f>G9+G15+G18+G19+G23+G17</f>
        <v>906382.59</v>
      </c>
      <c r="H8" s="103">
        <f>G8-F8</f>
        <v>29647.339999999967</v>
      </c>
      <c r="I8" s="210">
        <f>#N/A</f>
        <v>1.0338156130941467</v>
      </c>
      <c r="J8" s="104">
        <f>#N/A</f>
        <v>-696868.3099999999</v>
      </c>
      <c r="K8" s="156">
        <f>#N/A</f>
        <v>0.5653404529509386</v>
      </c>
      <c r="L8" s="104"/>
      <c r="M8" s="104"/>
      <c r="N8" s="104"/>
      <c r="O8" s="104">
        <v>1329586.12</v>
      </c>
      <c r="P8" s="104">
        <f>#N/A</f>
        <v>273664.7799999998</v>
      </c>
      <c r="Q8" s="156">
        <f>#N/A</f>
        <v>1.2058270433809881</v>
      </c>
      <c r="R8" s="103">
        <v>725573.04</v>
      </c>
      <c r="S8" s="103">
        <f>#N/A</f>
        <v>180809.54999999993</v>
      </c>
      <c r="T8" s="143">
        <f>#N/A</f>
        <v>1.2491955186207029</v>
      </c>
      <c r="U8" s="103">
        <f>U9+U15+U18+U19+U23+U17</f>
        <v>142737.30000000005</v>
      </c>
      <c r="V8" s="103">
        <f>V9+V15+V18+V19+V23+V17</f>
        <v>133996.62999999995</v>
      </c>
      <c r="W8" s="103">
        <f>V8-U8</f>
        <v>-8740.6700000001</v>
      </c>
      <c r="X8" s="143">
        <f>#N/A</f>
        <v>0.9387639390684839</v>
      </c>
      <c r="Y8" s="199">
        <f>#N/A</f>
        <v>0.043368475239714765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f>956203+20517.1</f>
        <v>976720.1</v>
      </c>
      <c r="F9" s="102">
        <v>518839.95</v>
      </c>
      <c r="G9" s="106">
        <v>547986.35</v>
      </c>
      <c r="H9" s="102">
        <f>G9-F9</f>
        <v>29146.399999999965</v>
      </c>
      <c r="I9" s="208">
        <f>#N/A</f>
        <v>1.0561760905265678</v>
      </c>
      <c r="J9" s="108">
        <f>#N/A</f>
        <v>-428733.75</v>
      </c>
      <c r="K9" s="148">
        <f>#N/A</f>
        <v>0.561047479211291</v>
      </c>
      <c r="L9" s="108"/>
      <c r="M9" s="108"/>
      <c r="N9" s="108"/>
      <c r="O9" s="108">
        <v>775821.8</v>
      </c>
      <c r="P9" s="108">
        <f>#N/A</f>
        <v>200898.29999999993</v>
      </c>
      <c r="Q9" s="148">
        <f>#N/A</f>
        <v>1.2589490266965944</v>
      </c>
      <c r="R9" s="115">
        <v>419643.05</v>
      </c>
      <c r="S9" s="109">
        <f>#N/A</f>
        <v>128343.29999999999</v>
      </c>
      <c r="T9" s="144">
        <f>#N/A</f>
        <v>1.3058392126355958</v>
      </c>
      <c r="U9" s="107">
        <f>F9-червень!F9</f>
        <v>82896.70000000001</v>
      </c>
      <c r="V9" s="110">
        <f>G9-червень!G9</f>
        <v>79988.71999999997</v>
      </c>
      <c r="W9" s="111">
        <f>V9-U9</f>
        <v>-2907.9800000000396</v>
      </c>
      <c r="X9" s="148">
        <f>#N/A</f>
        <v>0.9649204371223458</v>
      </c>
      <c r="Y9" s="200">
        <f>#N/A</f>
        <v>0.046890185939001405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881803+20517.1</f>
        <v>902320.1</v>
      </c>
      <c r="F10" s="71">
        <v>473886.91</v>
      </c>
      <c r="G10" s="94">
        <v>499813.46</v>
      </c>
      <c r="H10" s="71">
        <f>#N/A</f>
        <v>25926.550000000047</v>
      </c>
      <c r="I10" s="209">
        <f>#N/A</f>
        <v>1.0547104160357585</v>
      </c>
      <c r="J10" s="72">
        <f>#N/A</f>
        <v>-402506.63999999996</v>
      </c>
      <c r="K10" s="75">
        <f>#N/A</f>
        <v>0.553920343789305</v>
      </c>
      <c r="L10" s="72"/>
      <c r="M10" s="72"/>
      <c r="N10" s="72"/>
      <c r="O10" s="72">
        <v>709899.75</v>
      </c>
      <c r="P10" s="72">
        <f>#N/A</f>
        <v>192420.34999999998</v>
      </c>
      <c r="Q10" s="75">
        <f>#N/A</f>
        <v>1.2710528493635898</v>
      </c>
      <c r="R10" s="74">
        <v>384084.26</v>
      </c>
      <c r="S10" s="74">
        <f>#N/A</f>
        <v>115729.20000000001</v>
      </c>
      <c r="T10" s="145">
        <f>#N/A</f>
        <v>1.3013120089846952</v>
      </c>
      <c r="U10" s="73">
        <f>F10-червень!F10</f>
        <v>75000</v>
      </c>
      <c r="V10" s="98">
        <f>G10-червень!G10</f>
        <v>72676.51000000001</v>
      </c>
      <c r="W10" s="74">
        <f>#N/A</f>
        <v>-2323.4899999999907</v>
      </c>
      <c r="X10" s="75">
        <f>#N/A</f>
        <v>0.9690201333333335</v>
      </c>
      <c r="Y10" s="198">
        <f>#N/A</f>
        <v>0.03025915962110548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29277</v>
      </c>
      <c r="G11" s="94">
        <v>30157.62</v>
      </c>
      <c r="H11" s="71">
        <f>#N/A</f>
        <v>880.619999999999</v>
      </c>
      <c r="I11" s="209">
        <f>#N/A</f>
        <v>1.0300789015267957</v>
      </c>
      <c r="J11" s="72">
        <f>#N/A</f>
        <v>-19742.38</v>
      </c>
      <c r="K11" s="75">
        <f>#N/A</f>
        <v>0.604361122244489</v>
      </c>
      <c r="L11" s="72"/>
      <c r="M11" s="72"/>
      <c r="N11" s="72"/>
      <c r="O11" s="72">
        <v>42516.41</v>
      </c>
      <c r="P11" s="72">
        <f>#N/A</f>
        <v>7383.5899999999965</v>
      </c>
      <c r="Q11" s="75">
        <f>#N/A</f>
        <v>1.1736644744934954</v>
      </c>
      <c r="R11" s="74">
        <v>22629.08</v>
      </c>
      <c r="S11" s="74">
        <f>#N/A</f>
        <v>7528.539999999997</v>
      </c>
      <c r="T11" s="145">
        <f>#N/A</f>
        <v>1.3326931541185059</v>
      </c>
      <c r="U11" s="73">
        <f>F11-червень!F11</f>
        <v>4416.700000000001</v>
      </c>
      <c r="V11" s="98">
        <f>G11-червень!G11</f>
        <v>4093.7999999999993</v>
      </c>
      <c r="W11" s="74">
        <f>#N/A</f>
        <v>-322.90000000000146</v>
      </c>
      <c r="X11" s="75">
        <f>#N/A</f>
        <v>0.9268911178028841</v>
      </c>
      <c r="Y11" s="198">
        <f>#N/A</f>
        <v>0.15902867962501044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7420.41</v>
      </c>
      <c r="G12" s="94">
        <v>9581.47</v>
      </c>
      <c r="H12" s="71">
        <f>#N/A</f>
        <v>2161.0599999999995</v>
      </c>
      <c r="I12" s="209">
        <f>#N/A</f>
        <v>1.291231886108719</v>
      </c>
      <c r="J12" s="72">
        <f>#N/A</f>
        <v>-2418.5300000000007</v>
      </c>
      <c r="K12" s="75">
        <f>#N/A</f>
        <v>0.7984558333333333</v>
      </c>
      <c r="L12" s="72"/>
      <c r="M12" s="72"/>
      <c r="N12" s="72"/>
      <c r="O12" s="72">
        <v>11992.15</v>
      </c>
      <c r="P12" s="72">
        <f>#N/A</f>
        <v>7.850000000000364</v>
      </c>
      <c r="Q12" s="75">
        <f>#N/A</f>
        <v>1.0006545948808179</v>
      </c>
      <c r="R12" s="74">
        <v>5471.93</v>
      </c>
      <c r="S12" s="74">
        <f>#N/A</f>
        <v>4109.539999999999</v>
      </c>
      <c r="T12" s="145">
        <f>#N/A</f>
        <v>1.751022034273099</v>
      </c>
      <c r="U12" s="73">
        <f>F12-червень!F12</f>
        <v>899</v>
      </c>
      <c r="V12" s="98">
        <f>G12-червень!G12</f>
        <v>1246.3599999999988</v>
      </c>
      <c r="W12" s="74">
        <f>#N/A</f>
        <v>347.35999999999876</v>
      </c>
      <c r="X12" s="75">
        <f>#N/A</f>
        <v>1.3863848720800875</v>
      </c>
      <c r="Y12" s="198">
        <f>#N/A</f>
        <v>0.7503674393922812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7912</v>
      </c>
      <c r="G13" s="94">
        <v>8126.18</v>
      </c>
      <c r="H13" s="71">
        <f>#N/A</f>
        <v>214.1800000000003</v>
      </c>
      <c r="I13" s="209">
        <f>#N/A</f>
        <v>1.0270702730030334</v>
      </c>
      <c r="J13" s="72">
        <f>#N/A</f>
        <v>-3873.8199999999997</v>
      </c>
      <c r="K13" s="75">
        <f>#N/A</f>
        <v>0.6771816666666667</v>
      </c>
      <c r="L13" s="72"/>
      <c r="M13" s="72"/>
      <c r="N13" s="72"/>
      <c r="O13" s="72">
        <v>10036.81</v>
      </c>
      <c r="P13" s="72">
        <f>#N/A</f>
        <v>1963.1900000000005</v>
      </c>
      <c r="Q13" s="75">
        <f>#N/A</f>
        <v>1.195599000080703</v>
      </c>
      <c r="R13" s="74">
        <v>6636.94</v>
      </c>
      <c r="S13" s="74">
        <f>#N/A</f>
        <v>1489.2400000000007</v>
      </c>
      <c r="T13" s="145">
        <f>#N/A</f>
        <v>1.2243865395799873</v>
      </c>
      <c r="U13" s="73">
        <f>F13-червень!F13</f>
        <v>2548</v>
      </c>
      <c r="V13" s="98">
        <f>G13-червень!G13</f>
        <v>1972.0500000000002</v>
      </c>
      <c r="W13" s="74">
        <f>#N/A</f>
        <v>-575.9499999999998</v>
      </c>
      <c r="X13" s="75">
        <f>#N/A</f>
        <v>0.7739599686028258</v>
      </c>
      <c r="Y13" s="198">
        <f>#N/A</f>
        <v>0.028787539499284254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343.63</v>
      </c>
      <c r="G14" s="94">
        <v>307.62</v>
      </c>
      <c r="H14" s="71">
        <f>#N/A</f>
        <v>-36.00999999999999</v>
      </c>
      <c r="I14" s="209">
        <f>#N/A</f>
        <v>0.8952070540988855</v>
      </c>
      <c r="J14" s="72">
        <f>#N/A</f>
        <v>-192.38</v>
      </c>
      <c r="K14" s="75">
        <f>#N/A</f>
        <v>0.61524</v>
      </c>
      <c r="L14" s="72"/>
      <c r="M14" s="72"/>
      <c r="N14" s="72"/>
      <c r="O14" s="72">
        <v>1376.68</v>
      </c>
      <c r="P14" s="72">
        <f>#N/A</f>
        <v>-876.6800000000001</v>
      </c>
      <c r="Q14" s="75">
        <f>#N/A</f>
        <v>0.36319260830403577</v>
      </c>
      <c r="R14" s="74">
        <v>820.83</v>
      </c>
      <c r="S14" s="74">
        <f>#N/A</f>
        <v>-513.21</v>
      </c>
      <c r="T14" s="145">
        <f>#N/A</f>
        <v>0.374767004129966</v>
      </c>
      <c r="U14" s="73">
        <f>F14-червень!F14</f>
        <v>33</v>
      </c>
      <c r="V14" s="98">
        <f>G14-червень!G14</f>
        <v>0</v>
      </c>
      <c r="W14" s="74">
        <f>#N/A</f>
        <v>-33</v>
      </c>
      <c r="X14" s="75">
        <f>#N/A</f>
        <v>0</v>
      </c>
      <c r="Y14" s="198">
        <f>#N/A</f>
        <v>0.011574395825930228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365</v>
      </c>
      <c r="G15" s="106">
        <v>1042.18</v>
      </c>
      <c r="H15" s="102">
        <f>#N/A</f>
        <v>677.1800000000001</v>
      </c>
      <c r="I15" s="208">
        <f>#N/A</f>
        <v>2.855287671232877</v>
      </c>
      <c r="J15" s="108">
        <f>#N/A</f>
        <v>142.18000000000006</v>
      </c>
      <c r="K15" s="108">
        <f>#N/A</f>
        <v>115.79777777777778</v>
      </c>
      <c r="L15" s="108"/>
      <c r="M15" s="108"/>
      <c r="N15" s="108"/>
      <c r="O15" s="108">
        <v>887.61</v>
      </c>
      <c r="P15" s="108">
        <f>#N/A</f>
        <v>12.389999999999986</v>
      </c>
      <c r="Q15" s="148">
        <f>#N/A</f>
        <v>1.0139588332713692</v>
      </c>
      <c r="R15" s="111">
        <v>44.99</v>
      </c>
      <c r="S15" s="111">
        <f>#N/A</f>
        <v>997.19</v>
      </c>
      <c r="T15" s="146">
        <f>#N/A</f>
        <v>23.164703267392753</v>
      </c>
      <c r="U15" s="107">
        <f>F15-червень!F15</f>
        <v>0</v>
      </c>
      <c r="V15" s="110">
        <f>G15-червень!G15</f>
        <v>0.2899999999999636</v>
      </c>
      <c r="W15" s="111">
        <f>#N/A</f>
        <v>0.2899999999999636</v>
      </c>
      <c r="X15" s="154" t="e">
        <f>#N/A</f>
        <v>#DIV/0!</v>
      </c>
      <c r="Y15" s="197">
        <f>#N/A</f>
        <v>22.150744434121382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>#N/A</f>
        <v>0</v>
      </c>
      <c r="I16" s="208" t="e">
        <f>G16/F16/100</f>
        <v>#DIV/0!</v>
      </c>
      <c r="J16" s="108">
        <f>#N/A</f>
        <v>0</v>
      </c>
      <c r="K16" s="108" t="e">
        <f>#N/A</f>
        <v>#DIV/0!</v>
      </c>
      <c r="L16" s="108"/>
      <c r="M16" s="108"/>
      <c r="N16" s="108"/>
      <c r="O16" s="108"/>
      <c r="P16" s="108">
        <f>#N/A</f>
        <v>0</v>
      </c>
      <c r="Q16" s="148" t="e">
        <f>#N/A</f>
        <v>#DIV/0!</v>
      </c>
      <c r="R16" s="111">
        <f>O16</f>
        <v>0</v>
      </c>
      <c r="S16" s="111">
        <f>#N/A</f>
        <v>0</v>
      </c>
      <c r="T16" s="146" t="e">
        <f>#N/A</f>
        <v>#DIV/0!</v>
      </c>
      <c r="U16" s="107">
        <f>F16-червень!F16</f>
        <v>0</v>
      </c>
      <c r="V16" s="110">
        <f>G16-червень!G16</f>
        <v>0</v>
      </c>
      <c r="W16" s="111">
        <f>#N/A</f>
        <v>0</v>
      </c>
      <c r="X16" s="154" t="e">
        <f>#N/A</f>
        <v>#DIV/0!</v>
      </c>
      <c r="Y16" s="197" t="e">
        <f>#N/A</f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>#N/A</f>
        <v>0</v>
      </c>
      <c r="I17" s="208"/>
      <c r="J17" s="108">
        <f>#N/A</f>
        <v>0</v>
      </c>
      <c r="K17" s="108"/>
      <c r="L17" s="108"/>
      <c r="M17" s="108"/>
      <c r="N17" s="108"/>
      <c r="O17" s="108">
        <v>0.49</v>
      </c>
      <c r="P17" s="108">
        <f>#N/A</f>
        <v>-0.49</v>
      </c>
      <c r="Q17" s="148">
        <f>#N/A</f>
        <v>0</v>
      </c>
      <c r="R17" s="111">
        <v>0</v>
      </c>
      <c r="S17" s="111">
        <f>#N/A</f>
        <v>0</v>
      </c>
      <c r="T17" s="146" t="e">
        <f>#N/A</f>
        <v>#DIV/0!</v>
      </c>
      <c r="U17" s="107">
        <f>F17-червень!F17</f>
        <v>0</v>
      </c>
      <c r="V17" s="110">
        <f>G17-червень!G17</f>
        <v>0</v>
      </c>
      <c r="W17" s="111">
        <f>#N/A</f>
        <v>0</v>
      </c>
      <c r="X17" s="154" t="e">
        <f>#N/A</f>
        <v>#DIV/0!</v>
      </c>
      <c r="Y17" s="197" t="e">
        <f>#N/A</f>
        <v>#DIV/0!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140.5</v>
      </c>
      <c r="G18" s="106">
        <v>194.24</v>
      </c>
      <c r="H18" s="102">
        <f>#N/A</f>
        <v>53.74000000000001</v>
      </c>
      <c r="I18" s="208">
        <f>#N/A</f>
        <v>1.382491103202847</v>
      </c>
      <c r="J18" s="108">
        <f>#N/A</f>
        <v>-41.359999999999985</v>
      </c>
      <c r="K18" s="108">
        <f>#N/A</f>
        <v>82.44482173174873</v>
      </c>
      <c r="L18" s="108"/>
      <c r="M18" s="108"/>
      <c r="N18" s="108"/>
      <c r="O18" s="108">
        <v>220.59</v>
      </c>
      <c r="P18" s="108">
        <f>#N/A</f>
        <v>15.009999999999991</v>
      </c>
      <c r="Q18" s="148">
        <f>#N/A</f>
        <v>1.0680447889750215</v>
      </c>
      <c r="R18" s="111">
        <v>118.46</v>
      </c>
      <c r="S18" s="111">
        <f>#N/A</f>
        <v>75.78000000000002</v>
      </c>
      <c r="T18" s="146">
        <f>#N/A</f>
        <v>1.639709606618268</v>
      </c>
      <c r="U18" s="107">
        <f>F18-червень!F18</f>
        <v>0</v>
      </c>
      <c r="V18" s="110">
        <f>G18-червень!G18</f>
        <v>0</v>
      </c>
      <c r="W18" s="111">
        <f>#N/A</f>
        <v>0</v>
      </c>
      <c r="X18" s="154" t="e">
        <f>#N/A</f>
        <v>#DIV/0!</v>
      </c>
      <c r="Y18" s="197">
        <f>#N/A</f>
        <v>0.5716648176432464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f>F20+F21+F22</f>
        <v>82609</v>
      </c>
      <c r="G19" s="158">
        <v>64297.33</v>
      </c>
      <c r="H19" s="102">
        <f>#N/A</f>
        <v>-18311.67</v>
      </c>
      <c r="I19" s="208">
        <f>#N/A</f>
        <v>0.778333232456512</v>
      </c>
      <c r="J19" s="108">
        <f>#N/A</f>
        <v>-87430.67</v>
      </c>
      <c r="K19" s="108">
        <f>#N/A</f>
        <v>42.37670700200359</v>
      </c>
      <c r="L19" s="108"/>
      <c r="M19" s="108"/>
      <c r="N19" s="108"/>
      <c r="O19" s="108">
        <v>121950.14</v>
      </c>
      <c r="P19" s="108">
        <f>#N/A</f>
        <v>29777.86</v>
      </c>
      <c r="Q19" s="148">
        <f>#N/A</f>
        <v>1.2441806134867905</v>
      </c>
      <c r="R19" s="111">
        <v>59400.33</v>
      </c>
      <c r="S19" s="111">
        <f>#N/A</f>
        <v>4897</v>
      </c>
      <c r="T19" s="146">
        <f>#N/A</f>
        <v>1.0824406194376361</v>
      </c>
      <c r="U19" s="107">
        <f>F19-червень!F19</f>
        <v>13986</v>
      </c>
      <c r="V19" s="110">
        <f>G19-червень!G19</f>
        <v>5288.520000000004</v>
      </c>
      <c r="W19" s="111">
        <f>#N/A</f>
        <v>-8697.479999999996</v>
      </c>
      <c r="X19" s="148">
        <f>#N/A</f>
        <v>0.3781295581295584</v>
      </c>
      <c r="Y19" s="197">
        <f>#N/A</f>
        <v>-0.1617399940491544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34009</v>
      </c>
      <c r="G20" s="141">
        <v>31738.1</v>
      </c>
      <c r="H20" s="170">
        <f>#N/A</f>
        <v>-2270.9000000000015</v>
      </c>
      <c r="I20" s="211">
        <f>#N/A</f>
        <v>0.9332264988679467</v>
      </c>
      <c r="J20" s="171">
        <f>#N/A</f>
        <v>-34969.9</v>
      </c>
      <c r="K20" s="171">
        <f>#N/A</f>
        <v>47.577651855849375</v>
      </c>
      <c r="L20" s="171"/>
      <c r="M20" s="171"/>
      <c r="N20" s="171"/>
      <c r="O20" s="171">
        <v>60736.45</v>
      </c>
      <c r="P20" s="171">
        <f>#N/A</f>
        <v>5971.550000000003</v>
      </c>
      <c r="Q20" s="180">
        <f>#N/A</f>
        <v>1.098319048940134</v>
      </c>
      <c r="R20" s="116">
        <v>36347.96</v>
      </c>
      <c r="S20" s="116">
        <f>#N/A</f>
        <v>-4609.860000000001</v>
      </c>
      <c r="T20" s="172">
        <f>#N/A</f>
        <v>0.8731741753870094</v>
      </c>
      <c r="U20" s="136">
        <f>F20-червень!F20</f>
        <v>6786</v>
      </c>
      <c r="V20" s="124">
        <f>G20-червень!G20</f>
        <v>5288.519999999997</v>
      </c>
      <c r="W20" s="116">
        <f>#N/A</f>
        <v>-1497.4800000000032</v>
      </c>
      <c r="X20" s="180">
        <f>#N/A</f>
        <v>0.7793280282935451</v>
      </c>
      <c r="Y20" s="198">
        <f>#N/A</f>
        <v>-0.22514487355312462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9100</v>
      </c>
      <c r="G21" s="141">
        <v>6880.51</v>
      </c>
      <c r="H21" s="170">
        <f>#N/A</f>
        <v>-2219.49</v>
      </c>
      <c r="I21" s="211">
        <f>#N/A</f>
        <v>0.7561</v>
      </c>
      <c r="J21" s="171">
        <f>#N/A</f>
        <v>-8815.49</v>
      </c>
      <c r="K21" s="171">
        <f>#N/A</f>
        <v>43.836072884811415</v>
      </c>
      <c r="L21" s="171"/>
      <c r="M21" s="171"/>
      <c r="N21" s="171"/>
      <c r="O21" s="171">
        <v>12528.71</v>
      </c>
      <c r="P21" s="171">
        <f>#N/A</f>
        <v>3167.290000000001</v>
      </c>
      <c r="Q21" s="180">
        <f>#N/A</f>
        <v>1.2528025630731336</v>
      </c>
      <c r="R21" s="116">
        <v>4942.32</v>
      </c>
      <c r="S21" s="116">
        <f>#N/A</f>
        <v>1938.1900000000005</v>
      </c>
      <c r="T21" s="172">
        <f>#N/A</f>
        <v>1.3921619806082974</v>
      </c>
      <c r="U21" s="136">
        <f>F21-червень!F21</f>
        <v>1300</v>
      </c>
      <c r="V21" s="124">
        <f>G21-червень!G21</f>
        <v>0</v>
      </c>
      <c r="W21" s="116">
        <f>#N/A</f>
        <v>-1300</v>
      </c>
      <c r="X21" s="180">
        <f>#N/A</f>
        <v>0</v>
      </c>
      <c r="Y21" s="198">
        <f>#N/A</f>
        <v>0.1393594175351638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39500</v>
      </c>
      <c r="G22" s="141">
        <v>25678.72</v>
      </c>
      <c r="H22" s="170">
        <f>#N/A</f>
        <v>-13821.279999999999</v>
      </c>
      <c r="I22" s="211">
        <f>#N/A</f>
        <v>0.6500941772151899</v>
      </c>
      <c r="J22" s="171">
        <f>#N/A</f>
        <v>-43645.28</v>
      </c>
      <c r="K22" s="171">
        <f>#N/A</f>
        <v>37.04160175408228</v>
      </c>
      <c r="L22" s="171"/>
      <c r="M22" s="171"/>
      <c r="N22" s="171"/>
      <c r="O22" s="171">
        <v>48684.98</v>
      </c>
      <c r="P22" s="171">
        <f>#N/A</f>
        <v>20639.019999999997</v>
      </c>
      <c r="Q22" s="180">
        <f>#N/A</f>
        <v>1.4239299266426728</v>
      </c>
      <c r="R22" s="116">
        <v>18110.05</v>
      </c>
      <c r="S22" s="116">
        <f>#N/A</f>
        <v>7568.670000000002</v>
      </c>
      <c r="T22" s="172">
        <f>#N/A</f>
        <v>1.4179265104182486</v>
      </c>
      <c r="U22" s="136">
        <f>F22-червень!F22</f>
        <v>5900</v>
      </c>
      <c r="V22" s="124">
        <f>G22-червень!G22</f>
        <v>0</v>
      </c>
      <c r="W22" s="116">
        <f>#N/A</f>
        <v>-5900</v>
      </c>
      <c r="X22" s="180">
        <f>#N/A</f>
        <v>0</v>
      </c>
      <c r="Y22" s="198">
        <f>#N/A</f>
        <v>-0.006003416224424241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473667.19999999995</v>
      </c>
      <c r="F23" s="102">
        <f>F24+F43+F47+F42+F46</f>
        <v>274780.80000000005</v>
      </c>
      <c r="G23" s="158">
        <v>292862.49</v>
      </c>
      <c r="H23" s="102">
        <f>#N/A</f>
        <v>18081.689999999944</v>
      </c>
      <c r="I23" s="208">
        <f>#N/A</f>
        <v>1.06580405181148</v>
      </c>
      <c r="J23" s="108">
        <f>#N/A</f>
        <v>-180804.70999999996</v>
      </c>
      <c r="K23" s="108">
        <f>#N/A</f>
        <v>61.828746005634336</v>
      </c>
      <c r="L23" s="108"/>
      <c r="M23" s="108"/>
      <c r="N23" s="108"/>
      <c r="O23" s="108">
        <v>430705.5</v>
      </c>
      <c r="P23" s="108">
        <f>#N/A</f>
        <v>42961.69999999995</v>
      </c>
      <c r="Q23" s="148">
        <f>#N/A</f>
        <v>1.099747275110255</v>
      </c>
      <c r="R23" s="108">
        <v>246365.72</v>
      </c>
      <c r="S23" s="111">
        <f>#N/A</f>
        <v>46496.76999999999</v>
      </c>
      <c r="T23" s="147">
        <f>#N/A</f>
        <v>1.1887306805508493</v>
      </c>
      <c r="U23" s="107">
        <f>F23-червень!F23</f>
        <v>45854.600000000035</v>
      </c>
      <c r="V23" s="110">
        <f>G23-червень!G23</f>
        <v>48719.09999999998</v>
      </c>
      <c r="W23" s="111">
        <f>#N/A</f>
        <v>2864.499999999942</v>
      </c>
      <c r="X23" s="148">
        <f>#N/A</f>
        <v>1.062469196111185</v>
      </c>
      <c r="Y23" s="197">
        <f>T23-Q23</f>
        <v>0.08898340544059424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124728.01000000001</v>
      </c>
      <c r="G24" s="158">
        <f>G25+G32+G35</f>
        <v>140064.5</v>
      </c>
      <c r="H24" s="102">
        <f>#N/A</f>
        <v>15336.48999999999</v>
      </c>
      <c r="I24" s="208">
        <f>#N/A</f>
        <v>1.1229594699698968</v>
      </c>
      <c r="J24" s="108">
        <f>#N/A</f>
        <v>-76777.5</v>
      </c>
      <c r="K24" s="148">
        <f>#N/A</f>
        <v>0.6459288329751617</v>
      </c>
      <c r="L24" s="108"/>
      <c r="M24" s="108"/>
      <c r="N24" s="108"/>
      <c r="O24" s="108">
        <v>207231.03</v>
      </c>
      <c r="P24" s="108">
        <f>#N/A</f>
        <v>9610.970000000001</v>
      </c>
      <c r="Q24" s="148">
        <f>#N/A</f>
        <v>1.0463780448323787</v>
      </c>
      <c r="R24" s="108">
        <v>120635.04</v>
      </c>
      <c r="S24" s="111">
        <f>#N/A</f>
        <v>19429.460000000006</v>
      </c>
      <c r="T24" s="147">
        <f>#N/A</f>
        <v>1.1610598380039499</v>
      </c>
      <c r="U24" s="107">
        <f>F24-червень!F24</f>
        <v>22137</v>
      </c>
      <c r="V24" s="110">
        <f>G24-червень!G24</f>
        <v>24643.240000000005</v>
      </c>
      <c r="W24" s="111">
        <f>#N/A</f>
        <v>2506.2400000000052</v>
      </c>
      <c r="X24" s="148">
        <f>#N/A</f>
        <v>1.1132149794461763</v>
      </c>
      <c r="Y24" s="197">
        <f>#N/A</f>
        <v>0.11468179317157112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18238.5</v>
      </c>
      <c r="G25" s="141">
        <v>22591.68</v>
      </c>
      <c r="H25" s="170">
        <f>#N/A</f>
        <v>4353.18</v>
      </c>
      <c r="I25" s="211">
        <f>#N/A</f>
        <v>1.238680812566823</v>
      </c>
      <c r="J25" s="171">
        <f>#N/A</f>
        <v>-6192.32</v>
      </c>
      <c r="K25" s="180">
        <f>#N/A</f>
        <v>0.7848693718732629</v>
      </c>
      <c r="L25" s="171"/>
      <c r="M25" s="171"/>
      <c r="N25" s="171"/>
      <c r="O25" s="171">
        <v>25414.16</v>
      </c>
      <c r="P25" s="171">
        <f>#N/A</f>
        <v>3369.84</v>
      </c>
      <c r="Q25" s="180">
        <f>#N/A</f>
        <v>1.1325969459545386</v>
      </c>
      <c r="R25" s="179">
        <v>15862.36</v>
      </c>
      <c r="S25" s="116">
        <f>#N/A</f>
        <v>6729.32</v>
      </c>
      <c r="T25" s="152">
        <f>#N/A</f>
        <v>1.4242319553962965</v>
      </c>
      <c r="U25" s="136">
        <f>F25-червень!F25</f>
        <v>5438</v>
      </c>
      <c r="V25" s="124">
        <f>G25-червень!G25</f>
        <v>7390.720000000001</v>
      </c>
      <c r="W25" s="116">
        <f>#N/A</f>
        <v>1952.7200000000012</v>
      </c>
      <c r="X25" s="180">
        <f>#N/A</f>
        <v>1.3590878999632219</v>
      </c>
      <c r="Y25" s="197">
        <f>#N/A</f>
        <v>0.2916350094417579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496.61</v>
      </c>
      <c r="G26" s="139">
        <f>G28+G29</f>
        <v>2341.1</v>
      </c>
      <c r="H26" s="158">
        <f>#N/A</f>
        <v>1844.4899999999998</v>
      </c>
      <c r="I26" s="212">
        <f>#N/A</f>
        <v>4.714162018485331</v>
      </c>
      <c r="J26" s="176">
        <f>#N/A</f>
        <v>819.0999999999999</v>
      </c>
      <c r="K26" s="191">
        <f>#N/A</f>
        <v>1.538173455978975</v>
      </c>
      <c r="L26" s="176"/>
      <c r="M26" s="176"/>
      <c r="N26" s="176"/>
      <c r="O26" s="176">
        <f>O28+O29</f>
        <v>1512.89</v>
      </c>
      <c r="P26" s="176">
        <f>#N/A</f>
        <v>9.1099999999999</v>
      </c>
      <c r="Q26" s="191">
        <f>#N/A</f>
        <v>1.006021587821983</v>
      </c>
      <c r="R26" s="140">
        <f>R28+R29</f>
        <v>436.63</v>
      </c>
      <c r="S26" s="201">
        <f>#N/A</f>
        <v>1904.4699999999998</v>
      </c>
      <c r="T26" s="162">
        <f>#N/A</f>
        <v>5.361747933032545</v>
      </c>
      <c r="U26" s="167">
        <f>F26-червень!F26</f>
        <v>188</v>
      </c>
      <c r="V26" s="167">
        <f>G26-червень!G26</f>
        <v>979.73</v>
      </c>
      <c r="W26" s="176">
        <f>#N/A</f>
        <v>791.73</v>
      </c>
      <c r="X26" s="191">
        <f>#N/A</f>
        <v>5.2113297872340425</v>
      </c>
      <c r="Y26" s="197">
        <f>#N/A</f>
        <v>4.355726345210562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17741.89</v>
      </c>
      <c r="G27" s="139">
        <f>G30+G31</f>
        <v>20250.59</v>
      </c>
      <c r="H27" s="158">
        <f>#N/A</f>
        <v>2508.7000000000007</v>
      </c>
      <c r="I27" s="212">
        <f>#N/A</f>
        <v>1.1413998170431674</v>
      </c>
      <c r="J27" s="176">
        <f>#N/A</f>
        <v>-7011.41</v>
      </c>
      <c r="K27" s="191">
        <f>#N/A</f>
        <v>0.7428138067639939</v>
      </c>
      <c r="L27" s="176"/>
      <c r="M27" s="176"/>
      <c r="N27" s="176"/>
      <c r="O27" s="176">
        <f>O30+O31</f>
        <v>23901.28</v>
      </c>
      <c r="P27" s="176">
        <f>#N/A</f>
        <v>3360.720000000001</v>
      </c>
      <c r="Q27" s="191">
        <f>#N/A</f>
        <v>1.1406083690915299</v>
      </c>
      <c r="R27" s="140">
        <f>R30+R31</f>
        <v>15425.73</v>
      </c>
      <c r="S27" s="201">
        <f>#N/A</f>
        <v>4824.860000000001</v>
      </c>
      <c r="T27" s="162">
        <f>#N/A</f>
        <v>1.3127800110594443</v>
      </c>
      <c r="U27" s="167">
        <f>F27-червень!F27</f>
        <v>5250</v>
      </c>
      <c r="V27" s="167">
        <f>G27-червень!G27</f>
        <v>6411</v>
      </c>
      <c r="W27" s="176">
        <f>#N/A</f>
        <v>1161</v>
      </c>
      <c r="X27" s="191">
        <f>#N/A</f>
        <v>1.221142857142857</v>
      </c>
      <c r="Y27" s="197">
        <f>#N/A</f>
        <v>0.17217164196791446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207.8</v>
      </c>
      <c r="G28" s="206">
        <v>312.43</v>
      </c>
      <c r="H28" s="218">
        <f>#N/A</f>
        <v>104.63</v>
      </c>
      <c r="I28" s="220">
        <f>#N/A</f>
        <v>1.5035129932627527</v>
      </c>
      <c r="J28" s="221">
        <f>#N/A</f>
        <v>-3.569999999999993</v>
      </c>
      <c r="K28" s="222">
        <f>#N/A</f>
        <v>0.9887025316455696</v>
      </c>
      <c r="L28" s="176"/>
      <c r="M28" s="176"/>
      <c r="N28" s="176"/>
      <c r="O28" s="221">
        <v>275.91</v>
      </c>
      <c r="P28" s="221">
        <f>#N/A</f>
        <v>40.089999999999975</v>
      </c>
      <c r="Q28" s="222">
        <f>#N/A</f>
        <v>1.1453010039505636</v>
      </c>
      <c r="R28" s="221">
        <v>210.95</v>
      </c>
      <c r="S28" s="221">
        <f>#N/A</f>
        <v>101.48000000000002</v>
      </c>
      <c r="T28" s="222">
        <f>#N/A</f>
        <v>1.481061863000711</v>
      </c>
      <c r="U28" s="206">
        <f>F28-червень!F28</f>
        <v>65</v>
      </c>
      <c r="V28" s="206">
        <f>G28-червень!G28</f>
        <v>152.54000000000002</v>
      </c>
      <c r="W28" s="221">
        <f>#N/A</f>
        <v>87.54000000000002</v>
      </c>
      <c r="X28" s="222">
        <f>#N/A</f>
        <v>2.346769230769231</v>
      </c>
      <c r="Y28" s="465">
        <f>#N/A</f>
        <v>0.3357608590501475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288.81</v>
      </c>
      <c r="G29" s="206">
        <v>2028.67</v>
      </c>
      <c r="H29" s="218">
        <f>#N/A</f>
        <v>1739.8600000000001</v>
      </c>
      <c r="I29" s="220">
        <f>#N/A</f>
        <v>7.024237387902081</v>
      </c>
      <c r="J29" s="221">
        <f>#N/A</f>
        <v>822.6700000000001</v>
      </c>
      <c r="K29" s="222">
        <f>#N/A</f>
        <v>1.6821475953565506</v>
      </c>
      <c r="L29" s="176"/>
      <c r="M29" s="176"/>
      <c r="N29" s="176"/>
      <c r="O29" s="221">
        <v>1236.98</v>
      </c>
      <c r="P29" s="221">
        <f>#N/A</f>
        <v>-30.980000000000018</v>
      </c>
      <c r="Q29" s="222">
        <f>#N/A</f>
        <v>0.9749551326618053</v>
      </c>
      <c r="R29" s="221">
        <v>225.68</v>
      </c>
      <c r="S29" s="221">
        <f>#N/A</f>
        <v>1802.99</v>
      </c>
      <c r="T29" s="222">
        <f>#N/A</f>
        <v>8.989143920595534</v>
      </c>
      <c r="U29" s="206">
        <f>F29-червень!F29</f>
        <v>123</v>
      </c>
      <c r="V29" s="206">
        <f>G29-червень!G29</f>
        <v>827.19</v>
      </c>
      <c r="W29" s="221">
        <f>#N/A</f>
        <v>704.19</v>
      </c>
      <c r="X29" s="222">
        <f>#N/A</f>
        <v>6.725121951219513</v>
      </c>
      <c r="Y29" s="465">
        <f>#N/A</f>
        <v>8.01418878793373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616.09</v>
      </c>
      <c r="G30" s="206">
        <v>2257.79</v>
      </c>
      <c r="H30" s="218">
        <f>#N/A</f>
        <v>1641.6999999999998</v>
      </c>
      <c r="I30" s="220">
        <f>#N/A</f>
        <v>3.6647080783651735</v>
      </c>
      <c r="J30" s="221">
        <f>#N/A</f>
        <v>-97.21000000000004</v>
      </c>
      <c r="K30" s="222">
        <f>#N/A</f>
        <v>0.9587218683651805</v>
      </c>
      <c r="L30" s="176"/>
      <c r="M30" s="176"/>
      <c r="N30" s="176"/>
      <c r="O30" s="221">
        <v>2220.25</v>
      </c>
      <c r="P30" s="221">
        <f>#N/A</f>
        <v>134.75</v>
      </c>
      <c r="Q30" s="222">
        <f>#N/A</f>
        <v>1.0606913635851818</v>
      </c>
      <c r="R30" s="221">
        <v>369.47</v>
      </c>
      <c r="S30" s="221">
        <f>#N/A</f>
        <v>1888.32</v>
      </c>
      <c r="T30" s="222">
        <f>#N/A</f>
        <v>6.110888570113946</v>
      </c>
      <c r="U30" s="206">
        <f>F30-червень!F30</f>
        <v>250.00000000000006</v>
      </c>
      <c r="V30" s="206">
        <f>G30-червень!G30</f>
        <v>717.21</v>
      </c>
      <c r="W30" s="221">
        <f>#N/A</f>
        <v>467.21</v>
      </c>
      <c r="X30" s="222">
        <f>#N/A</f>
        <v>2.8688399999999996</v>
      </c>
      <c r="Y30" s="465">
        <f>#N/A</f>
        <v>5.050197206528765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17125.8</v>
      </c>
      <c r="G31" s="206">
        <v>17992.8</v>
      </c>
      <c r="H31" s="218">
        <f>#N/A</f>
        <v>867</v>
      </c>
      <c r="I31" s="220">
        <f>#N/A</f>
        <v>1.0506253722453842</v>
      </c>
      <c r="J31" s="221">
        <f>#N/A</f>
        <v>-6914.200000000001</v>
      </c>
      <c r="K31" s="222">
        <f>#N/A</f>
        <v>0.7223993254908259</v>
      </c>
      <c r="L31" s="176"/>
      <c r="M31" s="176"/>
      <c r="N31" s="176"/>
      <c r="O31" s="221">
        <v>21681.03</v>
      </c>
      <c r="P31" s="221">
        <f>#N/A</f>
        <v>3225.970000000001</v>
      </c>
      <c r="Q31" s="222">
        <f>#N/A</f>
        <v>1.148792285237371</v>
      </c>
      <c r="R31" s="221">
        <v>15056.26</v>
      </c>
      <c r="S31" s="221">
        <f>#N/A</f>
        <v>2936.539999999999</v>
      </c>
      <c r="T31" s="222">
        <f>#N/A</f>
        <v>1.1950378115149445</v>
      </c>
      <c r="U31" s="206">
        <f>F31-червень!F31</f>
        <v>5000</v>
      </c>
      <c r="V31" s="206">
        <f>G31-червень!G31</f>
        <v>5693.789999999999</v>
      </c>
      <c r="W31" s="221"/>
      <c r="X31" s="222">
        <f>#N/A</f>
        <v>1.1387579999999997</v>
      </c>
      <c r="Y31" s="465">
        <f>#N/A</f>
        <v>0.04624552627757339</v>
      </c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187.03</v>
      </c>
      <c r="G32" s="120">
        <v>1023.96</v>
      </c>
      <c r="H32" s="170">
        <f>#N/A</f>
        <v>836.9300000000001</v>
      </c>
      <c r="I32" s="211">
        <f>#N/A</f>
        <v>5.47484360797733</v>
      </c>
      <c r="J32" s="171">
        <f>#N/A</f>
        <v>741.96</v>
      </c>
      <c r="K32" s="180">
        <f>#N/A</f>
        <v>3.631063829787234</v>
      </c>
      <c r="L32" s="171"/>
      <c r="M32" s="171"/>
      <c r="N32" s="171"/>
      <c r="O32" s="171">
        <v>645.26</v>
      </c>
      <c r="P32" s="171">
        <f>#N/A</f>
        <v>-363.26</v>
      </c>
      <c r="Q32" s="180">
        <f>#N/A</f>
        <v>0.43703313393050863</v>
      </c>
      <c r="R32" s="121">
        <v>-40.81</v>
      </c>
      <c r="S32" s="121">
        <f>#N/A</f>
        <v>1064.77</v>
      </c>
      <c r="T32" s="150">
        <f>#N/A</f>
        <v>-25.09090909090909</v>
      </c>
      <c r="U32" s="136">
        <f>F32-червень!F32</f>
        <v>12</v>
      </c>
      <c r="V32" s="124">
        <f>G32-червень!G32</f>
        <v>399.33000000000004</v>
      </c>
      <c r="W32" s="116">
        <f>#N/A</f>
        <v>387.33000000000004</v>
      </c>
      <c r="X32" s="180">
        <f>#N/A</f>
        <v>33.2775</v>
      </c>
      <c r="Y32" s="198">
        <f>#N/A</f>
        <v>-25.5279422248396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521.3</v>
      </c>
      <c r="H33" s="71">
        <f>#N/A</f>
        <v>493.44999999999993</v>
      </c>
      <c r="I33" s="209">
        <f>#N/A</f>
        <v>18.718132854578094</v>
      </c>
      <c r="J33" s="72">
        <f>#N/A</f>
        <v>421.29999999999995</v>
      </c>
      <c r="K33" s="75">
        <f>#N/A</f>
        <v>5.212999999999999</v>
      </c>
      <c r="L33" s="72"/>
      <c r="M33" s="72"/>
      <c r="N33" s="72"/>
      <c r="O33" s="72">
        <v>241.36</v>
      </c>
      <c r="P33" s="72">
        <f>#N/A</f>
        <v>-141.36</v>
      </c>
      <c r="Q33" s="75">
        <f>#N/A</f>
        <v>0.41431885979449784</v>
      </c>
      <c r="R33" s="72">
        <v>-255.4</v>
      </c>
      <c r="S33" s="72">
        <f>#N/A</f>
        <v>776.6999999999999</v>
      </c>
      <c r="T33" s="75">
        <f>#N/A</f>
        <v>-2.041111981205951</v>
      </c>
      <c r="U33" s="73">
        <f>F33-червень!F33</f>
        <v>0</v>
      </c>
      <c r="V33" s="98">
        <f>G33-червень!G33</f>
        <v>261.72999999999996</v>
      </c>
      <c r="W33" s="74">
        <f>#N/A</f>
        <v>261.72999999999996</v>
      </c>
      <c r="X33" s="75" t="e">
        <f>#N/A</f>
        <v>#DIV/0!</v>
      </c>
      <c r="Y33" s="465">
        <f>#N/A</f>
        <v>-2.455430841000449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159.18</v>
      </c>
      <c r="G34" s="94">
        <v>502.66</v>
      </c>
      <c r="H34" s="71">
        <f>#N/A</f>
        <v>343.48</v>
      </c>
      <c r="I34" s="209">
        <f>#N/A</f>
        <v>3.157808769945973</v>
      </c>
      <c r="J34" s="72">
        <f>#N/A</f>
        <v>320.66</v>
      </c>
      <c r="K34" s="75">
        <f>#N/A</f>
        <v>2.761868131868132</v>
      </c>
      <c r="L34" s="72"/>
      <c r="M34" s="72"/>
      <c r="N34" s="72"/>
      <c r="O34" s="72">
        <v>403.91</v>
      </c>
      <c r="P34" s="72">
        <f>#N/A</f>
        <v>-221.91000000000003</v>
      </c>
      <c r="Q34" s="75">
        <f>#N/A</f>
        <v>0.45059542967492755</v>
      </c>
      <c r="R34" s="72">
        <v>214.58</v>
      </c>
      <c r="S34" s="72">
        <f>#N/A</f>
        <v>288.08000000000004</v>
      </c>
      <c r="T34" s="75">
        <f>#N/A</f>
        <v>2.342529592692702</v>
      </c>
      <c r="U34" s="73">
        <f>F34-червень!F34</f>
        <v>12</v>
      </c>
      <c r="V34" s="98">
        <f>G34-червень!G34</f>
        <v>137.60000000000002</v>
      </c>
      <c r="W34" s="74"/>
      <c r="X34" s="75">
        <f>#N/A</f>
        <v>11.466666666666669</v>
      </c>
      <c r="Y34" s="465">
        <f>#N/A</f>
        <v>1.8919341630177744</v>
      </c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106302.48000000001</v>
      </c>
      <c r="G35" s="120">
        <v>116448.86</v>
      </c>
      <c r="H35" s="102">
        <f>#N/A</f>
        <v>10146.37999999999</v>
      </c>
      <c r="I35" s="211">
        <f>#N/A</f>
        <v>1.0954481965049168</v>
      </c>
      <c r="J35" s="171">
        <f>#N/A</f>
        <v>-71327.14</v>
      </c>
      <c r="K35" s="180">
        <f>#N/A</f>
        <v>0.6201477292092706</v>
      </c>
      <c r="L35" s="171"/>
      <c r="M35" s="171"/>
      <c r="N35" s="171"/>
      <c r="O35" s="171">
        <v>181171.61</v>
      </c>
      <c r="P35" s="171">
        <f>#N/A</f>
        <v>6604.390000000014</v>
      </c>
      <c r="Q35" s="180">
        <f>#N/A</f>
        <v>1.0364537799272193</v>
      </c>
      <c r="R35" s="122">
        <v>104813.5</v>
      </c>
      <c r="S35" s="122">
        <f>#N/A</f>
        <v>11635.36</v>
      </c>
      <c r="T35" s="149">
        <f>#N/A</f>
        <v>1.1110101275122002</v>
      </c>
      <c r="U35" s="136">
        <f>F35-червень!F35</f>
        <v>16687</v>
      </c>
      <c r="V35" s="124">
        <f>G35-червень!G35</f>
        <v>16853.190000000002</v>
      </c>
      <c r="W35" s="116">
        <f>#N/A</f>
        <v>166.19000000000233</v>
      </c>
      <c r="X35" s="180">
        <f>#N/A</f>
        <v>1.0099592497153473</v>
      </c>
      <c r="Y35" s="198">
        <f>#N/A</f>
        <v>0.07455634758498086</v>
      </c>
    </row>
    <row r="36" spans="1:25" s="6" customFormat="1" ht="18" customHeight="1">
      <c r="A36" s="8"/>
      <c r="B36" s="137" t="s">
        <v>94</v>
      </c>
      <c r="C36" s="138"/>
      <c r="D36" s="245">
        <f>D38+D40</f>
        <v>60690</v>
      </c>
      <c r="E36" s="139">
        <f>#N/A</f>
        <v>60690</v>
      </c>
      <c r="F36" s="139">
        <f>#N/A</f>
        <v>34806.23</v>
      </c>
      <c r="G36" s="139">
        <f>G38+G40</f>
        <v>44465.39000000001</v>
      </c>
      <c r="H36" s="158">
        <f>#N/A</f>
        <v>9659.160000000003</v>
      </c>
      <c r="I36" s="212">
        <f>#N/A</f>
        <v>1.2775123878684937</v>
      </c>
      <c r="J36" s="176">
        <f>#N/A</f>
        <v>-16224.609999999993</v>
      </c>
      <c r="K36" s="191">
        <f>#N/A</f>
        <v>0.7326641950898007</v>
      </c>
      <c r="L36" s="176"/>
      <c r="M36" s="176"/>
      <c r="N36" s="176"/>
      <c r="O36" s="176">
        <f>O38+O40</f>
        <v>58608.68</v>
      </c>
      <c r="P36" s="176">
        <f>#N/A</f>
        <v>2081.3199999999997</v>
      </c>
      <c r="Q36" s="191">
        <f>#N/A</f>
        <v>1.0355121459824723</v>
      </c>
      <c r="R36" s="140">
        <f>R38+R40</f>
        <v>35855.88</v>
      </c>
      <c r="S36" s="140">
        <f>#N/A</f>
        <v>8609.51000000001</v>
      </c>
      <c r="T36" s="162">
        <f>#N/A</f>
        <v>1.2401143131893573</v>
      </c>
      <c r="U36" s="167">
        <f>F36-червень!F36</f>
        <v>5287</v>
      </c>
      <c r="V36" s="167">
        <f>G36-червень!G36</f>
        <v>5836.210000000006</v>
      </c>
      <c r="W36" s="176">
        <f>#N/A</f>
        <v>549.2100000000064</v>
      </c>
      <c r="X36" s="191">
        <f>#N/A</f>
        <v>110.38793266502755</v>
      </c>
      <c r="Y36" s="197">
        <f>#N/A</f>
        <v>0.20460216720688496</v>
      </c>
    </row>
    <row r="37" spans="1:25" s="6" customFormat="1" ht="18" customHeight="1">
      <c r="A37" s="8"/>
      <c r="B37" s="137" t="s">
        <v>95</v>
      </c>
      <c r="C37" s="138"/>
      <c r="D37" s="245">
        <f>D39+D41</f>
        <v>127086</v>
      </c>
      <c r="E37" s="139">
        <f>#N/A</f>
        <v>127086</v>
      </c>
      <c r="F37" s="139">
        <f>#N/A</f>
        <v>71496.25</v>
      </c>
      <c r="G37" s="139">
        <f>#N/A</f>
        <v>71983.46</v>
      </c>
      <c r="H37" s="158">
        <f>#N/A</f>
        <v>487.2100000000064</v>
      </c>
      <c r="I37" s="212">
        <f>#N/A</f>
        <v>1.006814483277095</v>
      </c>
      <c r="J37" s="176">
        <f>#N/A</f>
        <v>-55102.53999999999</v>
      </c>
      <c r="K37" s="191">
        <f>#N/A</f>
        <v>0.5664153407928489</v>
      </c>
      <c r="L37" s="176"/>
      <c r="M37" s="176"/>
      <c r="N37" s="176"/>
      <c r="O37" s="176">
        <f>O39+O41</f>
        <v>122562.93000000001</v>
      </c>
      <c r="P37" s="176">
        <f>#N/A</f>
        <v>4523.069999999992</v>
      </c>
      <c r="Q37" s="191">
        <f>#N/A</f>
        <v>1.0369040622641772</v>
      </c>
      <c r="R37" s="140">
        <f>R39+R41</f>
        <v>68957.62</v>
      </c>
      <c r="S37" s="140">
        <f>#N/A</f>
        <v>3025.840000000011</v>
      </c>
      <c r="T37" s="162">
        <f>#N/A</f>
        <v>1.0438797046649813</v>
      </c>
      <c r="U37" s="167">
        <f>F37-червень!F37</f>
        <v>11400</v>
      </c>
      <c r="V37" s="167">
        <f>G37-червень!G37</f>
        <v>11016.98000000001</v>
      </c>
      <c r="W37" s="176">
        <f>#N/A</f>
        <v>-383.0199999999895</v>
      </c>
      <c r="X37" s="191">
        <f>V37/U37</f>
        <v>0.9664017543859659</v>
      </c>
      <c r="Y37" s="197">
        <f>#N/A</f>
        <v>0.006975642400804061</v>
      </c>
    </row>
    <row r="38" spans="1:25" s="6" customFormat="1" ht="18" customHeight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32984.4</v>
      </c>
      <c r="G38" s="206">
        <v>42604.66</v>
      </c>
      <c r="H38" s="218">
        <f>#N/A</f>
        <v>9620.260000000002</v>
      </c>
      <c r="I38" s="220">
        <f>#N/A</f>
        <v>1.2916609063678588</v>
      </c>
      <c r="J38" s="221">
        <f>#N/A</f>
        <v>-14685.339999999997</v>
      </c>
      <c r="K38" s="222">
        <f>#N/A</f>
        <v>0.7436666084831559</v>
      </c>
      <c r="L38" s="176"/>
      <c r="M38" s="176"/>
      <c r="N38" s="176"/>
      <c r="O38" s="221">
        <v>55246.24</v>
      </c>
      <c r="P38" s="221">
        <f>#N/A</f>
        <v>2043.760000000002</v>
      </c>
      <c r="Q38" s="222">
        <f>#N/A</f>
        <v>1.0369936487985427</v>
      </c>
      <c r="R38" s="221">
        <v>33676.89</v>
      </c>
      <c r="S38" s="221">
        <f>#N/A</f>
        <v>8927.770000000004</v>
      </c>
      <c r="T38" s="222">
        <f>#N/A</f>
        <v>1.2651007857316992</v>
      </c>
      <c r="U38" s="206">
        <f>F38-червень!F38</f>
        <v>4900</v>
      </c>
      <c r="V38" s="206">
        <f>G38-червень!G38</f>
        <v>4909.080000000002</v>
      </c>
      <c r="W38" s="221">
        <f>#N/A</f>
        <v>9.080000000001746</v>
      </c>
      <c r="X38" s="222">
        <f>#N/A</f>
        <v>100.18530612244902</v>
      </c>
      <c r="Y38" s="465">
        <f>#N/A</f>
        <v>0.22810713693315643</v>
      </c>
    </row>
    <row r="39" spans="1:25" s="6" customFormat="1" ht="18" customHeight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59193.45</v>
      </c>
      <c r="G39" s="206">
        <v>60237.23</v>
      </c>
      <c r="H39" s="218">
        <f>#N/A</f>
        <v>1043.780000000006</v>
      </c>
      <c r="I39" s="220">
        <f>#N/A</f>
        <v>1.0176333699083262</v>
      </c>
      <c r="J39" s="221">
        <f>#N/A</f>
        <v>-45748.77</v>
      </c>
      <c r="K39" s="222">
        <f>#N/A</f>
        <v>0.568350819919612</v>
      </c>
      <c r="L39" s="176"/>
      <c r="M39" s="176"/>
      <c r="N39" s="176"/>
      <c r="O39" s="221">
        <v>102196.35</v>
      </c>
      <c r="P39" s="221">
        <f>#N/A</f>
        <v>3789.649999999994</v>
      </c>
      <c r="Q39" s="222">
        <f>#N/A</f>
        <v>1.0370820484293226</v>
      </c>
      <c r="R39" s="221">
        <v>57451.62</v>
      </c>
      <c r="S39" s="221">
        <f>#N/A</f>
        <v>2785.6100000000006</v>
      </c>
      <c r="T39" s="222">
        <f>#N/A</f>
        <v>1.0484861871606057</v>
      </c>
      <c r="U39" s="206">
        <f>F39-червень!F39</f>
        <v>9000</v>
      </c>
      <c r="V39" s="206">
        <f>G39-червень!G39</f>
        <v>9084.980000000003</v>
      </c>
      <c r="W39" s="221">
        <f>#N/A</f>
        <v>84.9800000000032</v>
      </c>
      <c r="X39" s="222">
        <f>#N/A</f>
        <v>100.94422222222225</v>
      </c>
      <c r="Y39" s="465">
        <f>#N/A</f>
        <v>0.011404138731283098</v>
      </c>
    </row>
    <row r="40" spans="1:25" s="6" customFormat="1" ht="18" customHeight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1821.83</v>
      </c>
      <c r="G40" s="206">
        <v>1860.73</v>
      </c>
      <c r="H40" s="218">
        <f>#N/A</f>
        <v>38.90000000000009</v>
      </c>
      <c r="I40" s="220">
        <f>#N/A</f>
        <v>1.021352156897186</v>
      </c>
      <c r="J40" s="221">
        <f>#N/A</f>
        <v>-1539.27</v>
      </c>
      <c r="K40" s="222">
        <f>#N/A</f>
        <v>0.5472735294117647</v>
      </c>
      <c r="L40" s="176"/>
      <c r="M40" s="176"/>
      <c r="N40" s="176"/>
      <c r="O40" s="221">
        <v>3362.44</v>
      </c>
      <c r="P40" s="221">
        <f>#N/A</f>
        <v>37.559999999999945</v>
      </c>
      <c r="Q40" s="222">
        <f>#N/A</f>
        <v>1.0111704595472335</v>
      </c>
      <c r="R40" s="221">
        <v>2178.99</v>
      </c>
      <c r="S40" s="221">
        <f>#N/A</f>
        <v>-318.25999999999976</v>
      </c>
      <c r="T40" s="222">
        <f>#N/A</f>
        <v>0.8539415050092016</v>
      </c>
      <c r="U40" s="206">
        <f>F40-червень!F40</f>
        <v>387</v>
      </c>
      <c r="V40" s="206">
        <f>G40-червень!G40</f>
        <v>927.13</v>
      </c>
      <c r="W40" s="221">
        <f>#N/A</f>
        <v>540.13</v>
      </c>
      <c r="X40" s="222">
        <f>#N/A</f>
        <v>239.56847545219637</v>
      </c>
      <c r="Y40" s="465">
        <f>#N/A</f>
        <v>-0.15722895453803187</v>
      </c>
    </row>
    <row r="41" spans="1:25" s="6" customFormat="1" ht="18" customHeight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12302.8</v>
      </c>
      <c r="G41" s="206">
        <v>11746.23</v>
      </c>
      <c r="H41" s="218">
        <f>#N/A</f>
        <v>-556.5699999999997</v>
      </c>
      <c r="I41" s="220">
        <f>#N/A</f>
        <v>0.9547607048801899</v>
      </c>
      <c r="J41" s="221">
        <f>#N/A</f>
        <v>-9353.77</v>
      </c>
      <c r="K41" s="222">
        <f>#N/A</f>
        <v>0.55669336492891</v>
      </c>
      <c r="L41" s="176"/>
      <c r="M41" s="176"/>
      <c r="N41" s="176"/>
      <c r="O41" s="221">
        <v>20366.58</v>
      </c>
      <c r="P41" s="221">
        <f>#N/A</f>
        <v>733.4199999999983</v>
      </c>
      <c r="Q41" s="222">
        <f>#N/A</f>
        <v>1.0360109552021006</v>
      </c>
      <c r="R41" s="221">
        <v>11506</v>
      </c>
      <c r="S41" s="221">
        <f>#N/A</f>
        <v>240.22999999999956</v>
      </c>
      <c r="T41" s="222">
        <f>#N/A</f>
        <v>1.0208786719972187</v>
      </c>
      <c r="U41" s="206">
        <f>F41-червень!F41</f>
        <v>2400</v>
      </c>
      <c r="V41" s="206">
        <f>G41-червень!G41</f>
        <v>1932</v>
      </c>
      <c r="W41" s="221">
        <f>#N/A</f>
        <v>-468</v>
      </c>
      <c r="X41" s="222">
        <f>#N/A</f>
        <v>80.5</v>
      </c>
      <c r="Y41" s="465">
        <f>#N/A</f>
        <v>-0.015132283204881913</v>
      </c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v>0</v>
      </c>
      <c r="G42" s="139">
        <v>0</v>
      </c>
      <c r="H42" s="102">
        <f>#N/A</f>
        <v>0</v>
      </c>
      <c r="I42" s="208"/>
      <c r="J42" s="108">
        <f>#N/A</f>
        <v>0</v>
      </c>
      <c r="K42" s="108"/>
      <c r="L42" s="108"/>
      <c r="M42" s="108"/>
      <c r="N42" s="108"/>
      <c r="O42" s="108">
        <v>0.2</v>
      </c>
      <c r="P42" s="108">
        <f>#N/A</f>
        <v>-0.2</v>
      </c>
      <c r="Q42" s="148">
        <f>#N/A</f>
        <v>0</v>
      </c>
      <c r="R42" s="117">
        <v>0.2</v>
      </c>
      <c r="S42" s="108">
        <f>#N/A</f>
        <v>-0.2</v>
      </c>
      <c r="T42" s="148"/>
      <c r="U42" s="107">
        <f>F42-червень!F42</f>
        <v>0</v>
      </c>
      <c r="V42" s="110">
        <f>G42-червень!G42</f>
        <v>0</v>
      </c>
      <c r="W42" s="111">
        <f>#N/A</f>
        <v>0</v>
      </c>
      <c r="X42" s="148"/>
      <c r="Y42" s="197">
        <f>#N/A</f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v>88.43</v>
      </c>
      <c r="G43" s="106">
        <v>119.63</v>
      </c>
      <c r="H43" s="102">
        <f>#N/A</f>
        <v>31.19999999999999</v>
      </c>
      <c r="I43" s="208">
        <f>G43/F43</f>
        <v>1.3528214406875494</v>
      </c>
      <c r="J43" s="108">
        <f>#N/A</f>
        <v>-54.77000000000001</v>
      </c>
      <c r="K43" s="148">
        <f>G43/E43</f>
        <v>0.6859518348623853</v>
      </c>
      <c r="L43" s="108"/>
      <c r="M43" s="108"/>
      <c r="N43" s="108"/>
      <c r="O43" s="108">
        <v>156.82</v>
      </c>
      <c r="P43" s="108">
        <f>#N/A</f>
        <v>17.580000000000013</v>
      </c>
      <c r="Q43" s="148">
        <f>#N/A</f>
        <v>1.112103048080602</v>
      </c>
      <c r="R43" s="117">
        <v>86.45</v>
      </c>
      <c r="S43" s="108">
        <f>#N/A</f>
        <v>33.17999999999999</v>
      </c>
      <c r="T43" s="148">
        <f>#N/A</f>
        <v>1.3838056680161943</v>
      </c>
      <c r="U43" s="107">
        <f>F43-червень!F43</f>
        <v>10</v>
      </c>
      <c r="V43" s="110">
        <f>G43-червень!G43</f>
        <v>28.97999999999999</v>
      </c>
      <c r="W43" s="111">
        <f>#N/A</f>
        <v>18.97999999999999</v>
      </c>
      <c r="X43" s="148">
        <f>V43/U43</f>
        <v>2.897999999999999</v>
      </c>
      <c r="Y43" s="466">
        <f>#N/A</f>
        <v>0.2717026199355923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50.9</v>
      </c>
      <c r="G44" s="94">
        <v>95.19</v>
      </c>
      <c r="H44" s="71">
        <f>#N/A</f>
        <v>44.29</v>
      </c>
      <c r="I44" s="209">
        <f>G44/F44</f>
        <v>1.8701375245579568</v>
      </c>
      <c r="J44" s="72">
        <f>#N/A</f>
        <v>-5.710000000000008</v>
      </c>
      <c r="K44" s="75">
        <f>G44/E44</f>
        <v>0.9434093161546084</v>
      </c>
      <c r="L44" s="72"/>
      <c r="M44" s="72"/>
      <c r="N44" s="72"/>
      <c r="O44" s="72">
        <v>95.14</v>
      </c>
      <c r="P44" s="72">
        <f>#N/A</f>
        <v>5.760000000000005</v>
      </c>
      <c r="Q44" s="75">
        <f>#N/A</f>
        <v>1.0605423586293883</v>
      </c>
      <c r="R44" s="72">
        <v>50.76</v>
      </c>
      <c r="S44" s="72">
        <f>#N/A</f>
        <v>44.43</v>
      </c>
      <c r="T44" s="75">
        <f>#N/A</f>
        <v>1.8752955082742317</v>
      </c>
      <c r="U44" s="73">
        <f>F44-червень!F44</f>
        <v>2</v>
      </c>
      <c r="V44" s="98">
        <f>G44-червень!G44</f>
        <v>22.450000000000003</v>
      </c>
      <c r="W44" s="74">
        <f>#N/A</f>
        <v>20.450000000000003</v>
      </c>
      <c r="X44" s="75">
        <f>V44/U44</f>
        <v>11.225000000000001</v>
      </c>
      <c r="Y44" s="465">
        <f>#N/A</f>
        <v>0.8147531496448435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37.53</v>
      </c>
      <c r="G45" s="94">
        <v>24.44</v>
      </c>
      <c r="H45" s="71">
        <f>#N/A</f>
        <v>-13.09</v>
      </c>
      <c r="I45" s="209">
        <f>G45/F45</f>
        <v>0.6512123634425793</v>
      </c>
      <c r="J45" s="72">
        <f>#N/A</f>
        <v>-49.06</v>
      </c>
      <c r="K45" s="75">
        <f>G45/E45</f>
        <v>0.3325170068027211</v>
      </c>
      <c r="L45" s="72"/>
      <c r="M45" s="72"/>
      <c r="N45" s="72"/>
      <c r="O45" s="72">
        <v>61.68</v>
      </c>
      <c r="P45" s="72">
        <f>#N/A</f>
        <v>11.82</v>
      </c>
      <c r="Q45" s="75">
        <f>#N/A</f>
        <v>1.1916342412451362</v>
      </c>
      <c r="R45" s="72">
        <v>35.68</v>
      </c>
      <c r="S45" s="72">
        <f>#N/A</f>
        <v>-11.239999999999998</v>
      </c>
      <c r="T45" s="75">
        <f>#N/A</f>
        <v>0.6849775784753364</v>
      </c>
      <c r="U45" s="73">
        <f>F45-червень!F45</f>
        <v>8</v>
      </c>
      <c r="V45" s="98">
        <f>G45-червень!G45</f>
        <v>6.530000000000001</v>
      </c>
      <c r="W45" s="74">
        <f>#N/A</f>
        <v>-1.4699999999999989</v>
      </c>
      <c r="X45" s="75">
        <f>V45/U45</f>
        <v>0.8162500000000001</v>
      </c>
      <c r="Y45" s="465">
        <f>#N/A</f>
        <v>-0.5066566627697998</v>
      </c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-14.76</v>
      </c>
      <c r="H46" s="102">
        <f>#N/A</f>
        <v>-14.76</v>
      </c>
      <c r="I46" s="208"/>
      <c r="J46" s="108">
        <f>#N/A</f>
        <v>-14.76</v>
      </c>
      <c r="K46" s="148"/>
      <c r="L46" s="108"/>
      <c r="M46" s="108"/>
      <c r="N46" s="108"/>
      <c r="O46" s="108">
        <v>-50.78</v>
      </c>
      <c r="P46" s="108">
        <f>#N/A</f>
        <v>50.78</v>
      </c>
      <c r="Q46" s="148">
        <f>#N/A</f>
        <v>0</v>
      </c>
      <c r="R46" s="108">
        <v>-34.92</v>
      </c>
      <c r="S46" s="108">
        <f>#N/A</f>
        <v>20.160000000000004</v>
      </c>
      <c r="T46" s="148">
        <f>#N/A</f>
        <v>0.422680412371134</v>
      </c>
      <c r="U46" s="107">
        <f>F46-червень!F46</f>
        <v>0</v>
      </c>
      <c r="V46" s="110">
        <f>G46-червень!G46</f>
        <v>6.250000000000002</v>
      </c>
      <c r="W46" s="111">
        <f>#N/A</f>
        <v>6.250000000000002</v>
      </c>
      <c r="X46" s="148"/>
      <c r="Y46" s="197">
        <f>#N/A</f>
        <v>0.422680412371134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256650.8</v>
      </c>
      <c r="F47" s="112">
        <f>F48+F49+F50+F51</f>
        <v>149964.36000000002</v>
      </c>
      <c r="G47" s="113">
        <v>152693.12</v>
      </c>
      <c r="H47" s="102">
        <f>#N/A</f>
        <v>2728.75999999998</v>
      </c>
      <c r="I47" s="208">
        <f>G47/F47</f>
        <v>1.018196056716409</v>
      </c>
      <c r="J47" s="108">
        <f>#N/A</f>
        <v>-103957.68</v>
      </c>
      <c r="K47" s="148">
        <f>G47/E47</f>
        <v>0.5949450381608006</v>
      </c>
      <c r="L47" s="108"/>
      <c r="M47" s="108"/>
      <c r="N47" s="108"/>
      <c r="O47" s="108">
        <v>223368.23</v>
      </c>
      <c r="P47" s="108">
        <f>#N/A</f>
        <v>33282.56999999998</v>
      </c>
      <c r="Q47" s="148">
        <f>#N/A</f>
        <v>1.1490031505375673</v>
      </c>
      <c r="R47" s="123">
        <v>125678.95</v>
      </c>
      <c r="S47" s="123">
        <f>#N/A</f>
        <v>27014.17</v>
      </c>
      <c r="T47" s="160">
        <f>#N/A</f>
        <v>1.214945860066463</v>
      </c>
      <c r="U47" s="107">
        <f>F47-червень!F47</f>
        <v>23707.60000000002</v>
      </c>
      <c r="V47" s="110">
        <f>G47-червень!G47</f>
        <v>24040.619999999995</v>
      </c>
      <c r="W47" s="111">
        <f>#N/A</f>
        <v>333.01999999997497</v>
      </c>
      <c r="X47" s="148">
        <f>V47/U47</f>
        <v>1.0140469722789305</v>
      </c>
      <c r="Y47" s="197">
        <f>#N/A</f>
        <v>0.0659427095288958</v>
      </c>
    </row>
    <row r="48" spans="1:25" s="6" customFormat="1" ht="15" customHeight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</v>
      </c>
      <c r="H48" s="71">
        <f>G48-F48</f>
        <v>0</v>
      </c>
      <c r="I48" s="209"/>
      <c r="J48" s="72">
        <f>#N/A</f>
        <v>0</v>
      </c>
      <c r="K48" s="75"/>
      <c r="L48" s="72"/>
      <c r="M48" s="72"/>
      <c r="N48" s="72"/>
      <c r="O48" s="72">
        <v>0.01</v>
      </c>
      <c r="P48" s="72">
        <f>#N/A</f>
        <v>-0.01</v>
      </c>
      <c r="Q48" s="75">
        <f>#N/A</f>
        <v>0</v>
      </c>
      <c r="R48" s="85">
        <v>0.01</v>
      </c>
      <c r="S48" s="85">
        <f>#N/A</f>
        <v>-0.01</v>
      </c>
      <c r="T48" s="153">
        <f>#N/A</f>
        <v>0</v>
      </c>
      <c r="U48" s="73">
        <f>F48-червень!F48</f>
        <v>0</v>
      </c>
      <c r="V48" s="98">
        <f>G48-червень!G48</f>
        <v>0</v>
      </c>
      <c r="W48" s="74">
        <f>#N/A</f>
        <v>0</v>
      </c>
      <c r="X48" s="75"/>
      <c r="Y48" s="198">
        <f>#N/A</f>
        <v>0</v>
      </c>
    </row>
    <row r="49" spans="1:25" s="6" customFormat="1" ht="15" customHeight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31583.87</v>
      </c>
      <c r="G49" s="94">
        <v>27957.96</v>
      </c>
      <c r="H49" s="71">
        <f>G49-F49</f>
        <v>-3625.91</v>
      </c>
      <c r="I49" s="209">
        <f>G49/F49</f>
        <v>0.885197412476685</v>
      </c>
      <c r="J49" s="72">
        <f>#N/A</f>
        <v>-27757.04</v>
      </c>
      <c r="K49" s="75">
        <f>G49/E49</f>
        <v>0.5018031050883963</v>
      </c>
      <c r="L49" s="72"/>
      <c r="M49" s="72"/>
      <c r="N49" s="72"/>
      <c r="O49" s="72">
        <v>45030.34</v>
      </c>
      <c r="P49" s="72">
        <f>#N/A</f>
        <v>10684.660000000003</v>
      </c>
      <c r="Q49" s="75">
        <f>#N/A</f>
        <v>1.2372769115223203</v>
      </c>
      <c r="R49" s="85">
        <v>24091.93</v>
      </c>
      <c r="S49" s="85">
        <f>#N/A</f>
        <v>3866.029999999999</v>
      </c>
      <c r="T49" s="153">
        <f>#N/A</f>
        <v>1.1604699166899455</v>
      </c>
      <c r="U49" s="73">
        <f>F49-червень!F49</f>
        <v>4700</v>
      </c>
      <c r="V49" s="98">
        <f>G49-червень!G49</f>
        <v>3702.529999999999</v>
      </c>
      <c r="W49" s="74">
        <f>#N/A</f>
        <v>-997.4700000000012</v>
      </c>
      <c r="X49" s="75">
        <f>V49/U49</f>
        <v>0.7877723404255317</v>
      </c>
      <c r="Y49" s="198">
        <f>#N/A</f>
        <v>-0.07680699483237485</v>
      </c>
    </row>
    <row r="50" spans="1:25" s="6" customFormat="1" ht="15" customHeight="1">
      <c r="A50" s="8"/>
      <c r="B50" s="41" t="s">
        <v>79</v>
      </c>
      <c r="C50" s="70">
        <v>18050400</v>
      </c>
      <c r="D50" s="230">
        <v>198755</v>
      </c>
      <c r="E50" s="71">
        <f>198755+2100</f>
        <v>200855</v>
      </c>
      <c r="F50" s="71">
        <v>118340.49</v>
      </c>
      <c r="G50" s="94">
        <v>124693.82</v>
      </c>
      <c r="H50" s="71">
        <f>G50-F50</f>
        <v>6353.330000000002</v>
      </c>
      <c r="I50" s="209">
        <f>G50/F50</f>
        <v>1.0536868657549077</v>
      </c>
      <c r="J50" s="72">
        <f>#N/A</f>
        <v>-76161.18</v>
      </c>
      <c r="K50" s="75">
        <f>G50/E50</f>
        <v>0.620815115381743</v>
      </c>
      <c r="L50" s="72"/>
      <c r="M50" s="72"/>
      <c r="N50" s="72"/>
      <c r="O50" s="72">
        <v>178270.24</v>
      </c>
      <c r="P50" s="72">
        <f>#N/A</f>
        <v>22584.76000000001</v>
      </c>
      <c r="Q50" s="75">
        <f>#N/A</f>
        <v>1.1266883356414397</v>
      </c>
      <c r="R50" s="85">
        <v>101556.93</v>
      </c>
      <c r="S50" s="85">
        <f>#N/A</f>
        <v>23136.890000000014</v>
      </c>
      <c r="T50" s="153">
        <f>#N/A</f>
        <v>1.2278218729140395</v>
      </c>
      <c r="U50" s="73">
        <f>F50-червень!F50</f>
        <v>19000</v>
      </c>
      <c r="V50" s="98">
        <f>G50-червень!G50</f>
        <v>20329.160000000003</v>
      </c>
      <c r="W50" s="74">
        <f>#N/A</f>
        <v>1329.1600000000035</v>
      </c>
      <c r="X50" s="75">
        <f>V50/U50</f>
        <v>1.0699557894736844</v>
      </c>
      <c r="Y50" s="198">
        <f>#N/A</f>
        <v>0.10113353727259988</v>
      </c>
    </row>
    <row r="51" spans="1:25" s="6" customFormat="1" ht="15" customHeight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40</v>
      </c>
      <c r="G51" s="94">
        <v>41.33</v>
      </c>
      <c r="H51" s="71">
        <f>G51-F51</f>
        <v>1.3299999999999983</v>
      </c>
      <c r="I51" s="209">
        <f>G51/F51</f>
        <v>1.03325</v>
      </c>
      <c r="J51" s="72">
        <f>#N/A</f>
        <v>-39.47</v>
      </c>
      <c r="K51" s="75">
        <f>G51/E51</f>
        <v>0.511509900990099</v>
      </c>
      <c r="L51" s="72"/>
      <c r="M51" s="72"/>
      <c r="N51" s="72"/>
      <c r="O51" s="72">
        <v>67.63</v>
      </c>
      <c r="P51" s="72">
        <f>#N/A</f>
        <v>13.170000000000002</v>
      </c>
      <c r="Q51" s="75">
        <f>#N/A</f>
        <v>1.1947360638769777</v>
      </c>
      <c r="R51" s="85">
        <v>30.07</v>
      </c>
      <c r="S51" s="85">
        <f>#N/A</f>
        <v>11.259999999999998</v>
      </c>
      <c r="T51" s="153">
        <f>#N/A</f>
        <v>1.3744595942800133</v>
      </c>
      <c r="U51" s="73">
        <f>F51-червень!F51</f>
        <v>7.600000000000001</v>
      </c>
      <c r="V51" s="98">
        <f>G51-червень!G51</f>
        <v>8.920000000000002</v>
      </c>
      <c r="W51" s="74">
        <f>#N/A</f>
        <v>1.3200000000000003</v>
      </c>
      <c r="X51" s="75"/>
      <c r="Y51" s="198">
        <f>#N/A</f>
        <v>0.17972353040303557</v>
      </c>
    </row>
    <row r="52" spans="1:25" s="6" customFormat="1" ht="15" customHeight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>#N/A</f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>#N/A</f>
        <v>0</v>
      </c>
      <c r="T52" s="154"/>
      <c r="U52" s="91">
        <f>F52-червень!F52</f>
        <v>0</v>
      </c>
      <c r="V52" s="99">
        <f>G52-червень!G52</f>
        <v>0</v>
      </c>
      <c r="W52" s="117">
        <f>#N/A</f>
        <v>0</v>
      </c>
      <c r="X52" s="67"/>
      <c r="Y52" s="197">
        <f>#N/A</f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E54+E55+E56+E57+E58+E60+E62+E63+E64+E65+E66+E71+E72+E76+E59+E61+E77</f>
        <v>50248.9</v>
      </c>
      <c r="F53" s="103">
        <f>F54+F55+F56+F57+F58+F60+F62+F63+F64+F65+F66+F71+F72+F76+F59+F61+F77</f>
        <v>31455.67</v>
      </c>
      <c r="G53" s="103">
        <f>G54+G55+G56+G57+G58+G60+G62+G63+G64+G65+G66+G71+G72+G76+G59+G61+G77</f>
        <v>32859.63999999999</v>
      </c>
      <c r="H53" s="315">
        <f>#N/A</f>
        <v>1403.969999999994</v>
      </c>
      <c r="I53" s="143">
        <f>#N/A</f>
        <v>1.0446332886884937</v>
      </c>
      <c r="J53" s="104">
        <f>G53-E53</f>
        <v>-17389.26000000001</v>
      </c>
      <c r="K53" s="156">
        <f>#N/A</f>
        <v>0.653937499129334</v>
      </c>
      <c r="L53" s="104"/>
      <c r="M53" s="104"/>
      <c r="N53" s="104"/>
      <c r="O53" s="104">
        <v>69380.98</v>
      </c>
      <c r="P53" s="104">
        <f>E53-O53</f>
        <v>-19132.079999999994</v>
      </c>
      <c r="Q53" s="156">
        <f>E53/O53</f>
        <v>0.7242460397647886</v>
      </c>
      <c r="R53" s="173">
        <v>40463.34</v>
      </c>
      <c r="S53" s="103">
        <f>#N/A</f>
        <v>-7603.700000000004</v>
      </c>
      <c r="T53" s="143">
        <f>G53/R53</f>
        <v>0.8120842224097169</v>
      </c>
      <c r="U53" s="103">
        <f>U54+U55+U56+U57+U58+U60+U62+U63+U64+U65+U66+U71+U72+U76+U59+U61+U77</f>
        <v>3840.3699999999994</v>
      </c>
      <c r="V53" s="103">
        <f>V54+V55+V56+V57+V58+V60+V62+V63+V64+V65+V66+V71+V72+V76+V59+V61+V77</f>
        <v>4100.16</v>
      </c>
      <c r="W53" s="467">
        <f>#N/A</f>
        <v>259.7900000000004</v>
      </c>
      <c r="X53" s="143">
        <f>V53/U53</f>
        <v>1.0676471277507116</v>
      </c>
      <c r="Y53" s="197">
        <f>#N/A</f>
        <v>0.08783818264492826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f>1106.11+1543.89</f>
        <v>2650</v>
      </c>
      <c r="G54" s="106">
        <v>2729</v>
      </c>
      <c r="H54" s="102">
        <f>#N/A</f>
        <v>79</v>
      </c>
      <c r="I54" s="213">
        <f>#N/A</f>
        <v>1.029811320754717</v>
      </c>
      <c r="J54" s="115">
        <f>G54-E54</f>
        <v>79</v>
      </c>
      <c r="K54" s="155">
        <f>#N/A</f>
        <v>1.029811320754717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2205.32</v>
      </c>
      <c r="S54" s="115">
        <f>#N/A</f>
        <v>523.6799999999998</v>
      </c>
      <c r="T54" s="155">
        <f>G54/R54</f>
        <v>1.2374621370141294</v>
      </c>
      <c r="U54" s="107">
        <f>F54-червень!F54</f>
        <v>0</v>
      </c>
      <c r="V54" s="110">
        <f>G54-червень!G54</f>
        <v>1.550000000000182</v>
      </c>
      <c r="W54" s="111">
        <f>#N/A</f>
        <v>1.550000000000182</v>
      </c>
      <c r="X54" s="155" t="e">
        <f>V54/U54</f>
        <v>#DIV/0!</v>
      </c>
      <c r="Y54" s="197">
        <f>#N/A</f>
        <v>0.23137244696568526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f>5000+2000</f>
        <v>7000</v>
      </c>
      <c r="F55" s="102">
        <v>4500.08</v>
      </c>
      <c r="G55" s="106">
        <v>5991.12</v>
      </c>
      <c r="H55" s="102">
        <f>#N/A</f>
        <v>1491.04</v>
      </c>
      <c r="I55" s="213">
        <f>#N/A</f>
        <v>1.3313363317985458</v>
      </c>
      <c r="J55" s="115">
        <f>#N/A</f>
        <v>-1008.8800000000001</v>
      </c>
      <c r="K55" s="155">
        <f>#N/A</f>
        <v>0.8558742857142857</v>
      </c>
      <c r="L55" s="115"/>
      <c r="M55" s="115"/>
      <c r="N55" s="115"/>
      <c r="O55" s="115">
        <v>27997.6</v>
      </c>
      <c r="P55" s="115">
        <f>#N/A</f>
        <v>-20997.6</v>
      </c>
      <c r="Q55" s="155">
        <f>#N/A</f>
        <v>0.2500214304083207</v>
      </c>
      <c r="R55" s="115">
        <v>15892.63</v>
      </c>
      <c r="S55" s="115">
        <f>#N/A</f>
        <v>-9901.509999999998</v>
      </c>
      <c r="T55" s="155">
        <f>#N/A</f>
        <v>0.37697473608836296</v>
      </c>
      <c r="U55" s="107">
        <f>F55-червень!F55</f>
        <v>500</v>
      </c>
      <c r="V55" s="110">
        <f>G55-червень!G55</f>
        <v>1192.5100000000002</v>
      </c>
      <c r="W55" s="111">
        <f>#N/A</f>
        <v>692.5100000000002</v>
      </c>
      <c r="X55" s="155">
        <f>#N/A</f>
        <v>2.3850200000000004</v>
      </c>
      <c r="Y55" s="197">
        <f>#N/A</f>
        <v>0.12695330568004226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84</v>
      </c>
      <c r="G56" s="106">
        <v>51.82</v>
      </c>
      <c r="H56" s="102">
        <f>#N/A</f>
        <v>-32.18</v>
      </c>
      <c r="I56" s="213">
        <f>#N/A</f>
        <v>0.616904761904762</v>
      </c>
      <c r="J56" s="115">
        <f>#N/A</f>
        <v>-106.18</v>
      </c>
      <c r="K56" s="155">
        <f>#N/A</f>
        <v>0.3279746835443038</v>
      </c>
      <c r="L56" s="115"/>
      <c r="M56" s="115"/>
      <c r="N56" s="115"/>
      <c r="O56" s="115">
        <v>153.3</v>
      </c>
      <c r="P56" s="115">
        <f>#N/A</f>
        <v>4.699999999999989</v>
      </c>
      <c r="Q56" s="155">
        <f>#N/A</f>
        <v>1.030658838878017</v>
      </c>
      <c r="R56" s="117">
        <v>118.3</v>
      </c>
      <c r="S56" s="115">
        <f>#N/A</f>
        <v>-66.47999999999999</v>
      </c>
      <c r="T56" s="155">
        <f>#N/A</f>
        <v>0.43803888419273035</v>
      </c>
      <c r="U56" s="107">
        <f>F56-червень!F56</f>
        <v>14</v>
      </c>
      <c r="V56" s="110">
        <f>G56-червень!G56</f>
        <v>0</v>
      </c>
      <c r="W56" s="111">
        <f>#N/A</f>
        <v>-14</v>
      </c>
      <c r="X56" s="155">
        <f>#N/A</f>
        <v>0</v>
      </c>
      <c r="Y56" s="197">
        <f>#N/A</f>
        <v>-0.5926199546852866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8</v>
      </c>
      <c r="G57" s="106">
        <v>5.04</v>
      </c>
      <c r="H57" s="102">
        <f>#N/A</f>
        <v>-2.96</v>
      </c>
      <c r="I57" s="213">
        <f>#N/A</f>
        <v>0.63</v>
      </c>
      <c r="J57" s="115">
        <f>#N/A</f>
        <v>-7.96</v>
      </c>
      <c r="K57" s="155">
        <f>#N/A</f>
        <v>0.38769230769230767</v>
      </c>
      <c r="L57" s="115"/>
      <c r="M57" s="115"/>
      <c r="N57" s="115"/>
      <c r="O57" s="115">
        <v>12.95</v>
      </c>
      <c r="P57" s="115">
        <f>#N/A</f>
        <v>0.05000000000000071</v>
      </c>
      <c r="Q57" s="225">
        <f>#N/A</f>
        <v>1.0038610038610039</v>
      </c>
      <c r="R57" s="115">
        <v>10.79</v>
      </c>
      <c r="S57" s="115">
        <f>#N/A</f>
        <v>-5.749999999999999</v>
      </c>
      <c r="T57" s="155"/>
      <c r="U57" s="107">
        <f>F57-червень!F57</f>
        <v>1</v>
      </c>
      <c r="V57" s="110">
        <f>G57-червень!G57</f>
        <v>2.94</v>
      </c>
      <c r="W57" s="111">
        <f>#N/A</f>
        <v>1.94</v>
      </c>
      <c r="X57" s="155">
        <f>#N/A</f>
        <v>2.94</v>
      </c>
      <c r="Y57" s="197">
        <f>#N/A</f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390</v>
      </c>
      <c r="G58" s="106">
        <v>702.59</v>
      </c>
      <c r="H58" s="102">
        <f>#N/A</f>
        <v>312.59000000000003</v>
      </c>
      <c r="I58" s="213">
        <f>#N/A</f>
        <v>1.8015128205128206</v>
      </c>
      <c r="J58" s="115">
        <f>#N/A</f>
        <v>-41.40999999999997</v>
      </c>
      <c r="K58" s="155">
        <f>#N/A</f>
        <v>0.9443413978494624</v>
      </c>
      <c r="L58" s="115"/>
      <c r="M58" s="115"/>
      <c r="N58" s="115"/>
      <c r="O58" s="115">
        <v>705.31</v>
      </c>
      <c r="P58" s="115">
        <f>#N/A</f>
        <v>38.690000000000055</v>
      </c>
      <c r="Q58" s="155">
        <f>#N/A</f>
        <v>1.0548553118486907</v>
      </c>
      <c r="R58" s="115">
        <v>545.59</v>
      </c>
      <c r="S58" s="115">
        <f>#N/A</f>
        <v>157</v>
      </c>
      <c r="T58" s="155">
        <f>#N/A</f>
        <v>1.287761872468337</v>
      </c>
      <c r="U58" s="107">
        <f>F58-червень!F58</f>
        <v>61.56999999999999</v>
      </c>
      <c r="V58" s="110">
        <f>G58-червень!G58</f>
        <v>59.09000000000003</v>
      </c>
      <c r="W58" s="111">
        <f>#N/A</f>
        <v>-2.4799999999999613</v>
      </c>
      <c r="X58" s="155">
        <f>#N/A</f>
        <v>0.9597206431703758</v>
      </c>
      <c r="Y58" s="197">
        <f>#N/A</f>
        <v>0.23290656061964632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60</v>
      </c>
      <c r="G59" s="106">
        <v>117.04</v>
      </c>
      <c r="H59" s="102">
        <f>#N/A</f>
        <v>57.040000000000006</v>
      </c>
      <c r="I59" s="213">
        <f>#N/A</f>
        <v>1.9506666666666668</v>
      </c>
      <c r="J59" s="115">
        <f>#N/A</f>
        <v>1.5400000000000063</v>
      </c>
      <c r="K59" s="155">
        <f>#N/A</f>
        <v>1.0133333333333334</v>
      </c>
      <c r="L59" s="115"/>
      <c r="M59" s="115"/>
      <c r="N59" s="115"/>
      <c r="O59" s="115">
        <v>114.3</v>
      </c>
      <c r="P59" s="115">
        <f>#N/A</f>
        <v>1.2000000000000028</v>
      </c>
      <c r="Q59" s="155">
        <f>#N/A</f>
        <v>1.010498687664042</v>
      </c>
      <c r="R59" s="115">
        <v>71.03</v>
      </c>
      <c r="S59" s="115">
        <f>#N/A</f>
        <v>46.010000000000005</v>
      </c>
      <c r="T59" s="155">
        <f>#N/A</f>
        <v>1.647754469942278</v>
      </c>
      <c r="U59" s="107">
        <f>F59-червень!F59</f>
        <v>10</v>
      </c>
      <c r="V59" s="110">
        <f>G59-червень!G59</f>
        <v>0.04000000000000625</v>
      </c>
      <c r="W59" s="111">
        <f>#N/A</f>
        <v>-9.959999999999994</v>
      </c>
      <c r="X59" s="155">
        <f>#N/A</f>
        <v>0.0040000000000006255</v>
      </c>
      <c r="Y59" s="197">
        <f>#N/A</f>
        <v>0.6372557822782359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734</v>
      </c>
      <c r="G60" s="106">
        <v>690.35</v>
      </c>
      <c r="H60" s="102">
        <f>#N/A</f>
        <v>-43.64999999999998</v>
      </c>
      <c r="I60" s="213">
        <f>#N/A</f>
        <v>0.9405313351498638</v>
      </c>
      <c r="J60" s="115">
        <f>#N/A</f>
        <v>-593.65</v>
      </c>
      <c r="K60" s="155">
        <f>#N/A</f>
        <v>0.5376557632398754</v>
      </c>
      <c r="L60" s="115"/>
      <c r="M60" s="115"/>
      <c r="N60" s="115"/>
      <c r="O60" s="115">
        <v>1205.14</v>
      </c>
      <c r="P60" s="115">
        <f>#N/A</f>
        <v>78.8599999999999</v>
      </c>
      <c r="Q60" s="155">
        <f>#N/A</f>
        <v>1.0654363808354215</v>
      </c>
      <c r="R60" s="115">
        <v>714.6</v>
      </c>
      <c r="S60" s="115">
        <f>#N/A</f>
        <v>-24.25</v>
      </c>
      <c r="T60" s="155">
        <f>#N/A</f>
        <v>0.9660649314301707</v>
      </c>
      <c r="U60" s="107">
        <f>F60-червень!F60</f>
        <v>120</v>
      </c>
      <c r="V60" s="110">
        <f>G60-червень!G60</f>
        <v>122.02999999999997</v>
      </c>
      <c r="W60" s="111">
        <f>#N/A</f>
        <v>2.0299999999999727</v>
      </c>
      <c r="X60" s="155">
        <f>#N/A</f>
        <v>1.0169166666666665</v>
      </c>
      <c r="Y60" s="197">
        <f>#N/A</f>
        <v>-0.09937144940525078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>#N/A</f>
        <v>0</v>
      </c>
      <c r="I61" s="213" t="e">
        <f>#N/A</f>
        <v>#DIV/0!</v>
      </c>
      <c r="J61" s="115">
        <f>#N/A</f>
        <v>0</v>
      </c>
      <c r="K61" s="155" t="e">
        <f>#N/A</f>
        <v>#DIV/0!</v>
      </c>
      <c r="L61" s="115"/>
      <c r="M61" s="115"/>
      <c r="N61" s="115"/>
      <c r="O61" s="115">
        <v>23.38</v>
      </c>
      <c r="P61" s="115">
        <f>#N/A</f>
        <v>-23.38</v>
      </c>
      <c r="Q61" s="155">
        <f>#N/A</f>
        <v>0</v>
      </c>
      <c r="R61" s="115">
        <v>0</v>
      </c>
      <c r="S61" s="115">
        <f>#N/A</f>
        <v>0</v>
      </c>
      <c r="T61" s="155"/>
      <c r="U61" s="107">
        <f>F61-червень!F61</f>
        <v>0</v>
      </c>
      <c r="V61" s="110">
        <f>G61-червень!G61</f>
        <v>0</v>
      </c>
      <c r="W61" s="111">
        <f>#N/A</f>
        <v>0</v>
      </c>
      <c r="X61" s="155" t="e">
        <f>#N/A</f>
        <v>#DIV/0!</v>
      </c>
      <c r="Y61" s="197">
        <f>#N/A</f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f>21260+1000</f>
        <v>22260</v>
      </c>
      <c r="F62" s="102">
        <v>13890</v>
      </c>
      <c r="G62" s="106">
        <v>13712.96</v>
      </c>
      <c r="H62" s="102">
        <f>#N/A</f>
        <v>-177.04000000000087</v>
      </c>
      <c r="I62" s="213">
        <f>#N/A</f>
        <v>0.9872541396688265</v>
      </c>
      <c r="J62" s="115">
        <f>#N/A</f>
        <v>-8547.04</v>
      </c>
      <c r="K62" s="155">
        <f>#N/A</f>
        <v>0.6160359389038634</v>
      </c>
      <c r="L62" s="115"/>
      <c r="M62" s="115"/>
      <c r="N62" s="115"/>
      <c r="O62" s="115">
        <v>20110.14</v>
      </c>
      <c r="P62" s="115">
        <f>#N/A</f>
        <v>2149.8600000000006</v>
      </c>
      <c r="Q62" s="155">
        <f>#N/A</f>
        <v>1.1069042781402816</v>
      </c>
      <c r="R62" s="115">
        <v>10783.99</v>
      </c>
      <c r="S62" s="115">
        <f>#N/A</f>
        <v>2928.9699999999993</v>
      </c>
      <c r="T62" s="155">
        <f>#N/A</f>
        <v>1.2716035530448377</v>
      </c>
      <c r="U62" s="107">
        <f>F62-червень!F62</f>
        <v>1800</v>
      </c>
      <c r="V62" s="110">
        <f>G62-червень!G62</f>
        <v>1404.4699999999993</v>
      </c>
      <c r="W62" s="111">
        <f>#N/A</f>
        <v>-395.53000000000065</v>
      </c>
      <c r="X62" s="155">
        <f>#N/A</f>
        <v>0.7802611111111107</v>
      </c>
      <c r="Y62" s="197">
        <f>#N/A</f>
        <v>0.16469927490455616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442.3</v>
      </c>
      <c r="G63" s="106">
        <v>504.51</v>
      </c>
      <c r="H63" s="102">
        <f>#N/A</f>
        <v>62.20999999999998</v>
      </c>
      <c r="I63" s="213">
        <f>#N/A</f>
        <v>1.140651141758987</v>
      </c>
      <c r="J63" s="115">
        <f>#N/A</f>
        <v>-262.49</v>
      </c>
      <c r="K63" s="155">
        <f>#N/A</f>
        <v>0.6577705345501955</v>
      </c>
      <c r="L63" s="115"/>
      <c r="M63" s="115"/>
      <c r="N63" s="115"/>
      <c r="O63" s="115">
        <v>710.04</v>
      </c>
      <c r="P63" s="115">
        <f>#N/A</f>
        <v>56.960000000000036</v>
      </c>
      <c r="Q63" s="155">
        <f>#N/A</f>
        <v>1.0802208326291478</v>
      </c>
      <c r="R63" s="115">
        <v>306.17</v>
      </c>
      <c r="S63" s="115">
        <f>#N/A</f>
        <v>198.33999999999997</v>
      </c>
      <c r="T63" s="155">
        <f>#N/A</f>
        <v>1.6478100401737596</v>
      </c>
      <c r="U63" s="107">
        <f>F63-червень!F63</f>
        <v>65.30000000000001</v>
      </c>
      <c r="V63" s="110">
        <f>G63-червень!G63</f>
        <v>102.57</v>
      </c>
      <c r="W63" s="111">
        <f>#N/A</f>
        <v>37.26999999999998</v>
      </c>
      <c r="X63" s="155">
        <f>#N/A</f>
        <v>1.5707503828483917</v>
      </c>
      <c r="Y63" s="197">
        <f>#N/A</f>
        <v>0.5675892075446118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24</v>
      </c>
      <c r="G64" s="106">
        <v>13.23</v>
      </c>
      <c r="H64" s="102">
        <f>#N/A</f>
        <v>-10.77</v>
      </c>
      <c r="I64" s="213">
        <f>#N/A</f>
        <v>0.55125</v>
      </c>
      <c r="J64" s="115">
        <f>#N/A</f>
        <v>-30.77</v>
      </c>
      <c r="K64" s="155">
        <f>#N/A</f>
        <v>0.3006818181818182</v>
      </c>
      <c r="L64" s="115"/>
      <c r="M64" s="115"/>
      <c r="N64" s="115"/>
      <c r="O64" s="115">
        <v>41.44</v>
      </c>
      <c r="P64" s="115">
        <f>#N/A</f>
        <v>2.5600000000000023</v>
      </c>
      <c r="Q64" s="155">
        <f>#N/A</f>
        <v>1.0617760617760619</v>
      </c>
      <c r="R64" s="115">
        <v>25.92</v>
      </c>
      <c r="S64" s="115">
        <f>#N/A</f>
        <v>-12.690000000000001</v>
      </c>
      <c r="T64" s="155">
        <f>#N/A</f>
        <v>0.5104166666666666</v>
      </c>
      <c r="U64" s="107">
        <f>F64-червень!F64</f>
        <v>4</v>
      </c>
      <c r="V64" s="110">
        <f>G64-червень!G64</f>
        <v>0</v>
      </c>
      <c r="W64" s="111">
        <f>#N/A</f>
        <v>-4</v>
      </c>
      <c r="X64" s="155">
        <f>#N/A</f>
        <v>0</v>
      </c>
      <c r="Y64" s="197">
        <f>#N/A</f>
        <v>-0.5513593951093952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3500</v>
      </c>
      <c r="G65" s="106">
        <v>4060</v>
      </c>
      <c r="H65" s="102">
        <f>#N/A</f>
        <v>560</v>
      </c>
      <c r="I65" s="213">
        <f>#N/A</f>
        <v>1.16</v>
      </c>
      <c r="J65" s="115">
        <f>#N/A</f>
        <v>-1940</v>
      </c>
      <c r="K65" s="155">
        <f>#N/A</f>
        <v>0.6766666666666666</v>
      </c>
      <c r="L65" s="115"/>
      <c r="M65" s="115"/>
      <c r="N65" s="115"/>
      <c r="O65" s="115">
        <v>6545.96</v>
      </c>
      <c r="P65" s="115">
        <f>#N/A</f>
        <v>-545.96</v>
      </c>
      <c r="Q65" s="155">
        <f>#N/A</f>
        <v>0.9165958850955398</v>
      </c>
      <c r="R65" s="115">
        <v>3786.14</v>
      </c>
      <c r="S65" s="115">
        <f>#N/A</f>
        <v>273.8600000000001</v>
      </c>
      <c r="T65" s="155">
        <f>#N/A</f>
        <v>1.0723322433930071</v>
      </c>
      <c r="U65" s="107">
        <f>F65-червень!F65</f>
        <v>500</v>
      </c>
      <c r="V65" s="110">
        <f>G65-червень!G65</f>
        <v>608.6199999999999</v>
      </c>
      <c r="W65" s="111">
        <f>#N/A</f>
        <v>108.61999999999989</v>
      </c>
      <c r="X65" s="155">
        <f>#N/A</f>
        <v>1.2172399999999999</v>
      </c>
      <c r="Y65" s="197">
        <f>#N/A</f>
        <v>0.15573635829746735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493.14</v>
      </c>
      <c r="G66" s="106">
        <v>457.77</v>
      </c>
      <c r="H66" s="102">
        <f>#N/A</f>
        <v>-35.370000000000005</v>
      </c>
      <c r="I66" s="213">
        <f>#N/A</f>
        <v>0.9282759459788296</v>
      </c>
      <c r="J66" s="115">
        <f>#N/A</f>
        <v>-408.23</v>
      </c>
      <c r="K66" s="155">
        <f>#N/A</f>
        <v>0.5286027713625866</v>
      </c>
      <c r="L66" s="115"/>
      <c r="M66" s="115"/>
      <c r="N66" s="115"/>
      <c r="O66" s="115">
        <v>896.22</v>
      </c>
      <c r="P66" s="115">
        <f>#N/A</f>
        <v>-30.220000000000027</v>
      </c>
      <c r="Q66" s="155">
        <f>#N/A</f>
        <v>0.9662806007453527</v>
      </c>
      <c r="R66" s="115">
        <v>479.15</v>
      </c>
      <c r="S66" s="115">
        <f>#N/A</f>
        <v>-21.379999999999995</v>
      </c>
      <c r="T66" s="155">
        <f>#N/A</f>
        <v>0.9553793175414798</v>
      </c>
      <c r="U66" s="107">
        <f>F66-червень!F66</f>
        <v>74.5</v>
      </c>
      <c r="V66" s="110">
        <f>G66-червень!G66</f>
        <v>99.51999999999998</v>
      </c>
      <c r="W66" s="111">
        <f>#N/A</f>
        <v>25.019999999999982</v>
      </c>
      <c r="X66" s="155">
        <f>#N/A</f>
        <v>1.3358389261744965</v>
      </c>
      <c r="Y66" s="197">
        <f>#N/A</f>
        <v>-0.010901283203872958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412.42</v>
      </c>
      <c r="G67" s="94">
        <v>365.32</v>
      </c>
      <c r="H67" s="71">
        <f>#N/A</f>
        <v>-47.10000000000002</v>
      </c>
      <c r="I67" s="209">
        <f>#N/A</f>
        <v>0.8857960331700693</v>
      </c>
      <c r="J67" s="72">
        <f>#N/A</f>
        <v>-362.88000000000005</v>
      </c>
      <c r="K67" s="75">
        <f>#N/A</f>
        <v>0.5016753639110134</v>
      </c>
      <c r="L67" s="72"/>
      <c r="M67" s="72"/>
      <c r="N67" s="72"/>
      <c r="O67" s="72">
        <v>760.62</v>
      </c>
      <c r="P67" s="72">
        <f>#N/A</f>
        <v>-32.41999999999996</v>
      </c>
      <c r="Q67" s="75">
        <f>#N/A</f>
        <v>0.957376876758434</v>
      </c>
      <c r="R67" s="72">
        <v>409.14</v>
      </c>
      <c r="S67" s="203">
        <f>#N/A</f>
        <v>-43.81999999999999</v>
      </c>
      <c r="T67" s="204">
        <f>#N/A</f>
        <v>0.8928972967688322</v>
      </c>
      <c r="U67" s="73">
        <f>F67-червень!F67</f>
        <v>63</v>
      </c>
      <c r="V67" s="98">
        <f>G67-червень!G67</f>
        <v>82.33999999999997</v>
      </c>
      <c r="W67" s="74">
        <f>#N/A</f>
        <v>19.339999999999975</v>
      </c>
      <c r="X67" s="75">
        <f>#N/A</f>
        <v>1.3069841269841267</v>
      </c>
      <c r="Y67" s="197">
        <f>#N/A</f>
        <v>-0.06447957998960174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0.5</v>
      </c>
      <c r="G68" s="94">
        <v>0.15</v>
      </c>
      <c r="H68" s="71">
        <f>#N/A</f>
        <v>-0.35</v>
      </c>
      <c r="I68" s="209">
        <f>#N/A</f>
        <v>0.3</v>
      </c>
      <c r="J68" s="72">
        <f>#N/A</f>
        <v>-0.85</v>
      </c>
      <c r="K68" s="75">
        <f>#N/A</f>
        <v>0.15</v>
      </c>
      <c r="L68" s="72"/>
      <c r="M68" s="72"/>
      <c r="N68" s="72"/>
      <c r="O68" s="72">
        <v>0.18</v>
      </c>
      <c r="P68" s="72">
        <f>#N/A</f>
        <v>0.8200000000000001</v>
      </c>
      <c r="Q68" s="75">
        <f>#N/A</f>
        <v>5.555555555555555</v>
      </c>
      <c r="R68" s="72">
        <v>0.15</v>
      </c>
      <c r="S68" s="203">
        <f>#N/A</f>
        <v>0</v>
      </c>
      <c r="T68" s="204">
        <f>#N/A</f>
        <v>1</v>
      </c>
      <c r="U68" s="73">
        <f>F68-червень!F68</f>
        <v>0.09999999999999998</v>
      </c>
      <c r="V68" s="98">
        <f>G68-червень!G68</f>
        <v>0.01999999999999999</v>
      </c>
      <c r="W68" s="74">
        <f>#N/A</f>
        <v>-0.07999999999999999</v>
      </c>
      <c r="X68" s="75"/>
      <c r="Y68" s="197">
        <f>#N/A</f>
        <v>-4.555555555555555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>#N/A</f>
        <v>0</v>
      </c>
      <c r="I69" s="209" t="e">
        <f>#N/A</f>
        <v>#DIV/0!</v>
      </c>
      <c r="J69" s="72">
        <f>#N/A</f>
        <v>0</v>
      </c>
      <c r="K69" s="75" t="e">
        <f>#N/A</f>
        <v>#DIV/0!</v>
      </c>
      <c r="L69" s="72"/>
      <c r="M69" s="72"/>
      <c r="N69" s="72"/>
      <c r="O69" s="72">
        <v>0</v>
      </c>
      <c r="P69" s="72">
        <f>#N/A</f>
        <v>0</v>
      </c>
      <c r="Q69" s="75" t="e">
        <f>#N/A</f>
        <v>#DIV/0!</v>
      </c>
      <c r="R69" s="72">
        <f>O69</f>
        <v>0</v>
      </c>
      <c r="S69" s="203">
        <f>#N/A</f>
        <v>0</v>
      </c>
      <c r="T69" s="204" t="e">
        <f>#N/A</f>
        <v>#DIV/0!</v>
      </c>
      <c r="U69" s="73">
        <f>F69-червень!F69</f>
        <v>0</v>
      </c>
      <c r="V69" s="98">
        <f>G69-червень!G69</f>
        <v>0</v>
      </c>
      <c r="W69" s="74">
        <f>#N/A</f>
        <v>0</v>
      </c>
      <c r="X69" s="75"/>
      <c r="Y69" s="197" t="e">
        <f>#N/A</f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80.22</v>
      </c>
      <c r="G70" s="94">
        <v>92.29</v>
      </c>
      <c r="H70" s="71">
        <f>#N/A</f>
        <v>12.070000000000007</v>
      </c>
      <c r="I70" s="209">
        <f>#N/A</f>
        <v>1.1504612316130642</v>
      </c>
      <c r="J70" s="72">
        <f>#N/A</f>
        <v>-44.510000000000005</v>
      </c>
      <c r="K70" s="75">
        <f>#N/A</f>
        <v>0.6746345029239766</v>
      </c>
      <c r="L70" s="72"/>
      <c r="M70" s="72"/>
      <c r="N70" s="72"/>
      <c r="O70" s="72">
        <v>135.42</v>
      </c>
      <c r="P70" s="72">
        <f>#N/A</f>
        <v>1.3800000000000239</v>
      </c>
      <c r="Q70" s="75">
        <f>#N/A</f>
        <v>1.01019051838724</v>
      </c>
      <c r="R70" s="72">
        <v>69.85</v>
      </c>
      <c r="S70" s="203">
        <f>#N/A</f>
        <v>22.440000000000012</v>
      </c>
      <c r="T70" s="204">
        <f>#N/A</f>
        <v>1.3212598425196853</v>
      </c>
      <c r="U70" s="73">
        <f>F70-червень!F70</f>
        <v>11.400000000000006</v>
      </c>
      <c r="V70" s="98">
        <f>G70-червень!G70</f>
        <v>17.150000000000006</v>
      </c>
      <c r="W70" s="74">
        <f>#N/A</f>
        <v>5.75</v>
      </c>
      <c r="X70" s="75">
        <f>#N/A</f>
        <v>1.5043859649122804</v>
      </c>
      <c r="Y70" s="197">
        <f>#N/A</f>
        <v>0.31106932413244537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0.15</v>
      </c>
      <c r="H71" s="102">
        <f>#N/A</f>
        <v>-1.35</v>
      </c>
      <c r="I71" s="213">
        <f>#N/A</f>
        <v>0.09999999999999999</v>
      </c>
      <c r="J71" s="115">
        <f>#N/A</f>
        <v>-2.85</v>
      </c>
      <c r="K71" s="155">
        <f>#N/A</f>
        <v>0.049999999999999996</v>
      </c>
      <c r="L71" s="115"/>
      <c r="M71" s="115"/>
      <c r="N71" s="115"/>
      <c r="O71" s="115">
        <v>2.04</v>
      </c>
      <c r="P71" s="115">
        <f>#N/A</f>
        <v>0.96</v>
      </c>
      <c r="Q71" s="155">
        <f>#N/A</f>
        <v>1.4705882352941175</v>
      </c>
      <c r="R71" s="115">
        <v>2.04</v>
      </c>
      <c r="S71" s="115">
        <f>#N/A</f>
        <v>-1.8900000000000001</v>
      </c>
      <c r="T71" s="155">
        <f>#N/A</f>
        <v>0.07352941176470588</v>
      </c>
      <c r="U71" s="107">
        <f>F71-червень!F71</f>
        <v>0</v>
      </c>
      <c r="V71" s="110">
        <f>G71-червень!G71</f>
        <v>0.15</v>
      </c>
      <c r="W71" s="111">
        <f>#N/A</f>
        <v>0.15</v>
      </c>
      <c r="X71" s="155"/>
      <c r="Y71" s="197">
        <f>#N/A</f>
        <v>-1.3970588235294117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4648.65</v>
      </c>
      <c r="G72" s="106">
        <v>3823.97</v>
      </c>
      <c r="H72" s="102">
        <f>#N/A</f>
        <v>-824.6799999999998</v>
      </c>
      <c r="I72" s="213">
        <f>#N/A</f>
        <v>0.822597958547105</v>
      </c>
      <c r="J72" s="115">
        <f>#N/A</f>
        <v>-4346.030000000001</v>
      </c>
      <c r="K72" s="155">
        <f>#N/A</f>
        <v>0.4680501835985312</v>
      </c>
      <c r="L72" s="115"/>
      <c r="M72" s="115"/>
      <c r="N72" s="115"/>
      <c r="O72" s="115">
        <v>8086.92</v>
      </c>
      <c r="P72" s="115">
        <f>#N/A</f>
        <v>83.07999999999993</v>
      </c>
      <c r="Q72" s="155">
        <f>#N/A</f>
        <v>1.0102733797292418</v>
      </c>
      <c r="R72" s="115">
        <v>5438.15</v>
      </c>
      <c r="S72" s="115">
        <f>#N/A</f>
        <v>-1614.1799999999998</v>
      </c>
      <c r="T72" s="155">
        <f>#N/A</f>
        <v>0.7031747928983202</v>
      </c>
      <c r="U72" s="107">
        <f>F72-червень!F72</f>
        <v>679.9999999999995</v>
      </c>
      <c r="V72" s="110">
        <f>G72-червень!G72</f>
        <v>506.6699999999996</v>
      </c>
      <c r="W72" s="111">
        <f>#N/A</f>
        <v>-173.32999999999993</v>
      </c>
      <c r="X72" s="155">
        <f>#N/A</f>
        <v>0.7451029411764706</v>
      </c>
      <c r="Y72" s="197">
        <f>#N/A</f>
        <v>-0.3070985868309216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>#N/A</f>
        <v>0</v>
      </c>
      <c r="I73" s="213" t="e">
        <f>G73/F73*100</f>
        <v>#DIV/0!</v>
      </c>
      <c r="J73" s="115">
        <f>#N/A</f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>#N/A</f>
        <v>0</v>
      </c>
      <c r="T73" s="155" t="e">
        <f>#N/A</f>
        <v>#DIV/0!</v>
      </c>
      <c r="U73" s="107">
        <f>F73-червень!F73</f>
        <v>0</v>
      </c>
      <c r="V73" s="110">
        <f>G73-червень!G73</f>
        <v>0</v>
      </c>
      <c r="W73" s="111">
        <f>#N/A</f>
        <v>0</v>
      </c>
      <c r="X73" s="155" t="e">
        <f>#N/A</f>
        <v>#DIV/0!</v>
      </c>
      <c r="Y73" s="197" t="e">
        <f>#N/A</f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>#N/A</f>
        <v>0</v>
      </c>
      <c r="U74" s="107">
        <f>F74-червень!F74</f>
        <v>0</v>
      </c>
      <c r="V74" s="110">
        <f>G74-червень!G74</f>
        <v>0</v>
      </c>
      <c r="W74" s="116">
        <f>V74-U74</f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>#N/A</f>
        <v>0</v>
      </c>
      <c r="I75" s="213" t="e">
        <f>G75/F75*100</f>
        <v>#DIV/0!</v>
      </c>
      <c r="J75" s="115">
        <f>#N/A</f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>#N/A</f>
        <v>0</v>
      </c>
      <c r="T75" s="155" t="e">
        <f>#N/A</f>
        <v>#DIV/0!</v>
      </c>
      <c r="U75" s="107">
        <f>F75-червень!F75</f>
        <v>0</v>
      </c>
      <c r="V75" s="110">
        <f>G75-червень!G75</f>
        <v>0</v>
      </c>
      <c r="W75" s="111">
        <f>V75-U75</f>
        <v>0</v>
      </c>
      <c r="X75" s="155" t="e">
        <f>#N/A</f>
        <v>#DIV/0!</v>
      </c>
      <c r="Y75" s="197" t="e">
        <f>#N/A</f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30</v>
      </c>
      <c r="G76" s="106">
        <v>0</v>
      </c>
      <c r="H76" s="102">
        <f>#N/A</f>
        <v>-30</v>
      </c>
      <c r="I76" s="213">
        <f>G76/F76</f>
        <v>0</v>
      </c>
      <c r="J76" s="115">
        <f>#N/A</f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60.14</v>
      </c>
      <c r="S76" s="115">
        <f>#N/A</f>
        <v>-60.14</v>
      </c>
      <c r="T76" s="155">
        <f>#N/A</f>
        <v>0</v>
      </c>
      <c r="U76" s="107">
        <f>F76-червень!F76</f>
        <v>10</v>
      </c>
      <c r="V76" s="110">
        <f>G76-червень!G76</f>
        <v>0</v>
      </c>
      <c r="W76" s="111">
        <f>V76-U76</f>
        <v>-10</v>
      </c>
      <c r="X76" s="155">
        <f>#N/A</f>
        <v>0</v>
      </c>
      <c r="Y76" s="197">
        <f>#N/A</f>
        <v>-1.2266141510761006</v>
      </c>
    </row>
    <row r="77" spans="1:25" s="6" customFormat="1" ht="44.25" customHeight="1">
      <c r="A77" s="8"/>
      <c r="B77" s="89" t="s">
        <v>238</v>
      </c>
      <c r="C77" s="34">
        <v>24062200</v>
      </c>
      <c r="D77" s="233"/>
      <c r="E77" s="102"/>
      <c r="F77" s="102"/>
      <c r="G77" s="106">
        <v>0.09</v>
      </c>
      <c r="H77" s="102">
        <f>#N/A</f>
        <v>0.09</v>
      </c>
      <c r="I77" s="213"/>
      <c r="J77" s="115">
        <f>#N/A</f>
        <v>0.09</v>
      </c>
      <c r="K77" s="155"/>
      <c r="L77" s="115"/>
      <c r="M77" s="115"/>
      <c r="N77" s="115"/>
      <c r="O77" s="115"/>
      <c r="P77" s="115"/>
      <c r="Q77" s="155"/>
      <c r="R77" s="115"/>
      <c r="S77" s="115"/>
      <c r="T77" s="155"/>
      <c r="U77" s="107">
        <f>F77-червень!F77</f>
        <v>0</v>
      </c>
      <c r="V77" s="110">
        <f>G77-червень!G77</f>
        <v>0</v>
      </c>
      <c r="W77" s="111"/>
      <c r="X77" s="155"/>
      <c r="Y77" s="197"/>
    </row>
    <row r="78" spans="1:25" s="6" customFormat="1" ht="27.75" customHeight="1">
      <c r="A78" s="8"/>
      <c r="B78" s="89" t="s">
        <v>39</v>
      </c>
      <c r="C78" s="34">
        <v>31010200</v>
      </c>
      <c r="D78" s="233">
        <v>35</v>
      </c>
      <c r="E78" s="102">
        <v>35</v>
      </c>
      <c r="F78" s="102">
        <v>21.17</v>
      </c>
      <c r="G78" s="106">
        <v>7.94</v>
      </c>
      <c r="H78" s="102">
        <f>#N/A</f>
        <v>-13.23</v>
      </c>
      <c r="I78" s="213">
        <f>G78/F78</f>
        <v>0.37505904581955596</v>
      </c>
      <c r="J78" s="115">
        <f>#N/A</f>
        <v>-27.06</v>
      </c>
      <c r="K78" s="155">
        <f>G78/E78</f>
        <v>0.22685714285714287</v>
      </c>
      <c r="L78" s="115"/>
      <c r="M78" s="115"/>
      <c r="N78" s="115"/>
      <c r="O78" s="115">
        <v>34.22</v>
      </c>
      <c r="P78" s="115">
        <f>E78-O78</f>
        <v>0.7800000000000011</v>
      </c>
      <c r="Q78" s="155">
        <f>E78/O78</f>
        <v>1.0227936879018118</v>
      </c>
      <c r="R78" s="115">
        <v>28.54</v>
      </c>
      <c r="S78" s="115">
        <f>#N/A</f>
        <v>-20.599999999999998</v>
      </c>
      <c r="T78" s="155">
        <f>#N/A</f>
        <v>0.2782060266292922</v>
      </c>
      <c r="U78" s="107">
        <f>F78-червень!F78</f>
        <v>2.900000000000002</v>
      </c>
      <c r="V78" s="110">
        <f>G78-червень!G78</f>
        <v>0.22000000000000064</v>
      </c>
      <c r="W78" s="111">
        <f>V78-U78</f>
        <v>-2.6800000000000015</v>
      </c>
      <c r="X78" s="155">
        <f>#N/A</f>
        <v>0.0758620689655174</v>
      </c>
      <c r="Y78" s="197">
        <f>#N/A</f>
        <v>-0.7445876612725195</v>
      </c>
    </row>
    <row r="79" spans="1:25" s="6" customFormat="1" ht="30.75">
      <c r="A79" s="8"/>
      <c r="B79" s="89" t="s">
        <v>49</v>
      </c>
      <c r="C79" s="34">
        <v>31020000</v>
      </c>
      <c r="D79" s="229"/>
      <c r="E79" s="102">
        <v>0</v>
      </c>
      <c r="F79" s="102">
        <f>E79</f>
        <v>0</v>
      </c>
      <c r="G79" s="106">
        <v>0.68</v>
      </c>
      <c r="H79" s="102">
        <f>#N/A</f>
        <v>0.68</v>
      </c>
      <c r="I79" s="213" t="e">
        <f>G79/F79</f>
        <v>#DIV/0!</v>
      </c>
      <c r="J79" s="115">
        <f>#N/A</f>
        <v>0.68</v>
      </c>
      <c r="K79" s="155"/>
      <c r="L79" s="115"/>
      <c r="M79" s="115"/>
      <c r="N79" s="115"/>
      <c r="O79" s="115">
        <v>-4.86</v>
      </c>
      <c r="P79" s="115">
        <f>E79-O79</f>
        <v>4.86</v>
      </c>
      <c r="Q79" s="155">
        <f>E79/O79</f>
        <v>0</v>
      </c>
      <c r="R79" s="115">
        <v>-5.25</v>
      </c>
      <c r="S79" s="115">
        <f>#N/A</f>
        <v>5.93</v>
      </c>
      <c r="T79" s="155">
        <f>#N/A</f>
        <v>-0.12952380952380954</v>
      </c>
      <c r="U79" s="107">
        <f>F79-червень!F79</f>
        <v>0</v>
      </c>
      <c r="V79" s="110">
        <f>G79-червень!G79</f>
        <v>0</v>
      </c>
      <c r="W79" s="111">
        <f>V79-U79</f>
        <v>0</v>
      </c>
      <c r="X79" s="155"/>
      <c r="Y79" s="197">
        <f>#N/A</f>
        <v>-0.12952380952380954</v>
      </c>
    </row>
    <row r="80" spans="1:25" s="6" customFormat="1" ht="17.25">
      <c r="A80" s="9"/>
      <c r="B80" s="13" t="s">
        <v>104</v>
      </c>
      <c r="C80" s="50"/>
      <c r="D80" s="14">
        <f>D8+D53+D78+D79</f>
        <v>1627917.7</v>
      </c>
      <c r="E80" s="103">
        <f>E8+E53+E78+E79</f>
        <v>1653534.7999999998</v>
      </c>
      <c r="F80" s="103">
        <f>F8+F53+F78+F79</f>
        <v>908212.0900000001</v>
      </c>
      <c r="G80" s="103">
        <f>G8+G53+G78+G79</f>
        <v>939250.85</v>
      </c>
      <c r="H80" s="103">
        <f>G80-F80</f>
        <v>31038.759999999893</v>
      </c>
      <c r="I80" s="210">
        <f>G80/F80</f>
        <v>1.0341756736579006</v>
      </c>
      <c r="J80" s="104">
        <f>G80-E80</f>
        <v>-714283.9499999998</v>
      </c>
      <c r="K80" s="156">
        <f>G80/E80</f>
        <v>0.5680260554540492</v>
      </c>
      <c r="L80" s="104"/>
      <c r="M80" s="104"/>
      <c r="N80" s="104"/>
      <c r="O80" s="104">
        <v>1398996.46</v>
      </c>
      <c r="P80" s="104">
        <f>E80-O80</f>
        <v>254538.33999999985</v>
      </c>
      <c r="Q80" s="156">
        <f>E80/O80</f>
        <v>1.1819435197141241</v>
      </c>
      <c r="R80" s="103">
        <v>766059.68</v>
      </c>
      <c r="S80" s="104">
        <f>G80-R80</f>
        <v>173191.16999999993</v>
      </c>
      <c r="T80" s="156">
        <f>G80/R80</f>
        <v>1.226080518948602</v>
      </c>
      <c r="U80" s="103">
        <f>U8+U53+U78+U79</f>
        <v>146580.57000000004</v>
      </c>
      <c r="V80" s="103">
        <f>V8+V53+V78+V79</f>
        <v>138097.00999999995</v>
      </c>
      <c r="W80" s="135">
        <f>V80-U80</f>
        <v>-8483.560000000085</v>
      </c>
      <c r="X80" s="156">
        <f>V80/U80</f>
        <v>0.9421235706751578</v>
      </c>
      <c r="Y80" s="197">
        <f>#N/A</f>
        <v>0.04413699923447778</v>
      </c>
    </row>
    <row r="81" spans="1:25" s="39" customFormat="1" ht="17.25" hidden="1">
      <c r="A81" s="36"/>
      <c r="B81" s="43"/>
      <c r="C81" s="51"/>
      <c r="D81" s="239"/>
      <c r="E81" s="37"/>
      <c r="F81" s="37"/>
      <c r="G81" s="63"/>
      <c r="H81" s="61"/>
      <c r="I81" s="214"/>
      <c r="J81" s="42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38"/>
      <c r="V81" s="37"/>
      <c r="W81" s="62"/>
      <c r="X81" s="68"/>
      <c r="Y81" s="197">
        <f>#N/A</f>
        <v>0</v>
      </c>
    </row>
    <row r="82" spans="1:25" s="39" customFormat="1" ht="17.25" hidden="1">
      <c r="A82" s="36"/>
      <c r="B82" s="44"/>
      <c r="C82" s="51"/>
      <c r="D82" s="239"/>
      <c r="E82" s="45"/>
      <c r="F82" s="37"/>
      <c r="G82" s="63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37"/>
      <c r="W82" s="47"/>
      <c r="X82" s="68"/>
      <c r="Y82" s="197">
        <f>#N/A</f>
        <v>0</v>
      </c>
    </row>
    <row r="83" spans="1:25" s="39" customFormat="1" ht="17.25" hidden="1">
      <c r="A83" s="36"/>
      <c r="B83" s="44"/>
      <c r="C83" s="51"/>
      <c r="D83" s="239"/>
      <c r="E83" s="45"/>
      <c r="F83" s="27"/>
      <c r="G83" s="76"/>
      <c r="H83" s="32"/>
      <c r="I83" s="214"/>
      <c r="J83" s="46"/>
      <c r="K83" s="68"/>
      <c r="L83" s="28"/>
      <c r="M83" s="28"/>
      <c r="N83" s="28"/>
      <c r="O83" s="28"/>
      <c r="P83" s="28"/>
      <c r="Q83" s="68"/>
      <c r="R83" s="28"/>
      <c r="S83" s="28"/>
      <c r="T83" s="28"/>
      <c r="U83" s="23"/>
      <c r="V83" s="45"/>
      <c r="W83" s="62"/>
      <c r="X83" s="68"/>
      <c r="Y83" s="197">
        <f>#N/A</f>
        <v>0</v>
      </c>
    </row>
    <row r="84" spans="2:25" ht="15">
      <c r="B84" s="19" t="s">
        <v>91</v>
      </c>
      <c r="C84" s="52"/>
      <c r="D84" s="240"/>
      <c r="E84" s="21"/>
      <c r="F84" s="21"/>
      <c r="G84" s="96"/>
      <c r="H84" s="27"/>
      <c r="I84" s="215"/>
      <c r="J84" s="31"/>
      <c r="K84" s="69"/>
      <c r="L84" s="31"/>
      <c r="M84" s="31"/>
      <c r="N84" s="31"/>
      <c r="O84" s="31"/>
      <c r="P84" s="31"/>
      <c r="Q84" s="69"/>
      <c r="R84" s="31"/>
      <c r="S84" s="31"/>
      <c r="T84" s="31"/>
      <c r="U84" s="24"/>
      <c r="V84" s="100"/>
      <c r="W84" s="29"/>
      <c r="X84" s="69"/>
      <c r="Y84" s="197">
        <f>#N/A</f>
        <v>0</v>
      </c>
    </row>
    <row r="85" spans="2:25" ht="25.5" customHeight="1" hidden="1">
      <c r="B85" s="165" t="s">
        <v>87</v>
      </c>
      <c r="C85" s="90">
        <v>12020000</v>
      </c>
      <c r="D85" s="241"/>
      <c r="E85" s="125">
        <v>0</v>
      </c>
      <c r="F85" s="125"/>
      <c r="G85" s="126">
        <v>0.01</v>
      </c>
      <c r="H85" s="112"/>
      <c r="I85" s="213"/>
      <c r="J85" s="117"/>
      <c r="K85" s="147"/>
      <c r="L85" s="117"/>
      <c r="M85" s="117"/>
      <c r="N85" s="117"/>
      <c r="O85" s="117"/>
      <c r="P85" s="117"/>
      <c r="Q85" s="147"/>
      <c r="R85" s="117">
        <f>O85</f>
        <v>0</v>
      </c>
      <c r="S85" s="117">
        <f>G85-R85</f>
        <v>0.01</v>
      </c>
      <c r="T85" s="147" t="e">
        <f>G85/R85</f>
        <v>#DIV/0!</v>
      </c>
      <c r="U85" s="112">
        <f>F85-червень!F85</f>
        <v>0</v>
      </c>
      <c r="V85" s="110">
        <f>G85-червень!G85</f>
        <v>0</v>
      </c>
      <c r="W85" s="117"/>
      <c r="X85" s="147"/>
      <c r="Y85" s="197" t="e">
        <f>#N/A</f>
        <v>#DIV/0!</v>
      </c>
    </row>
    <row r="86" spans="2:25" ht="31.5" hidden="1">
      <c r="B86" s="20" t="s">
        <v>52</v>
      </c>
      <c r="C86" s="58">
        <v>18041500</v>
      </c>
      <c r="D86" s="242"/>
      <c r="E86" s="125">
        <v>0</v>
      </c>
      <c r="F86" s="125">
        <v>0</v>
      </c>
      <c r="G86" s="126">
        <v>0</v>
      </c>
      <c r="H86" s="112">
        <f>G86-F86</f>
        <v>0</v>
      </c>
      <c r="I86" s="213"/>
      <c r="J86" s="117">
        <f>G86-E86</f>
        <v>0</v>
      </c>
      <c r="K86" s="147"/>
      <c r="L86" s="117"/>
      <c r="M86" s="117"/>
      <c r="N86" s="117"/>
      <c r="O86" s="117">
        <v>-2.64</v>
      </c>
      <c r="P86" s="117">
        <f>E86-O86</f>
        <v>2.64</v>
      </c>
      <c r="Q86" s="147">
        <f>E86/O86</f>
        <v>0</v>
      </c>
      <c r="R86" s="117">
        <v>-2.64</v>
      </c>
      <c r="S86" s="117">
        <f>G86-R86</f>
        <v>2.64</v>
      </c>
      <c r="T86" s="147">
        <f>G86/R86</f>
        <v>0</v>
      </c>
      <c r="U86" s="112">
        <f>F86-червень!F86</f>
        <v>0</v>
      </c>
      <c r="V86" s="110">
        <f>G86-червень!G86</f>
        <v>0</v>
      </c>
      <c r="W86" s="117">
        <f>V86-U86</f>
        <v>0</v>
      </c>
      <c r="X86" s="147"/>
      <c r="Y86" s="197">
        <f>#N/A</f>
        <v>0</v>
      </c>
    </row>
    <row r="87" spans="2:25" ht="17.25" hidden="1">
      <c r="B87" s="22" t="s">
        <v>40</v>
      </c>
      <c r="C87" s="59"/>
      <c r="D87" s="127">
        <f>D86</f>
        <v>0</v>
      </c>
      <c r="E87" s="127">
        <f>E86</f>
        <v>0</v>
      </c>
      <c r="F87" s="127">
        <f>F86</f>
        <v>0</v>
      </c>
      <c r="G87" s="128">
        <f>SUM(G85:G86)</f>
        <v>0.01</v>
      </c>
      <c r="H87" s="129">
        <f>G87-F87</f>
        <v>0.01</v>
      </c>
      <c r="I87" s="216"/>
      <c r="J87" s="131">
        <f>G87-E87</f>
        <v>0.01</v>
      </c>
      <c r="K87" s="151"/>
      <c r="L87" s="131"/>
      <c r="M87" s="131"/>
      <c r="N87" s="131"/>
      <c r="O87" s="131">
        <v>-2.64</v>
      </c>
      <c r="P87" s="131">
        <f>E87-O87</f>
        <v>2.64</v>
      </c>
      <c r="Q87" s="151">
        <f>E87/O87</f>
        <v>0</v>
      </c>
      <c r="R87" s="131">
        <v>-2.64</v>
      </c>
      <c r="S87" s="131">
        <f>#N/A</f>
        <v>2.65</v>
      </c>
      <c r="T87" s="151">
        <f>#N/A</f>
        <v>-0.003787878787878788</v>
      </c>
      <c r="U87" s="129">
        <f>F87-червень!F87</f>
        <v>0</v>
      </c>
      <c r="V87" s="174">
        <f>G87-червень!G87</f>
        <v>0</v>
      </c>
      <c r="W87" s="131">
        <f>V87-U87</f>
        <v>0</v>
      </c>
      <c r="X87" s="151"/>
      <c r="Y87" s="197">
        <f>#N/A</f>
        <v>-0.003787878787878788</v>
      </c>
    </row>
    <row r="88" spans="2:25" ht="45.75">
      <c r="B88" s="22" t="s">
        <v>32</v>
      </c>
      <c r="C88" s="90">
        <v>21110000</v>
      </c>
      <c r="D88" s="241">
        <v>0</v>
      </c>
      <c r="E88" s="127">
        <v>0</v>
      </c>
      <c r="F88" s="127">
        <v>0</v>
      </c>
      <c r="G88" s="128">
        <v>9.43</v>
      </c>
      <c r="H88" s="129">
        <f>#N/A</f>
        <v>9.43</v>
      </c>
      <c r="I88" s="216"/>
      <c r="J88" s="131">
        <f>G88-E88</f>
        <v>9.43</v>
      </c>
      <c r="K88" s="151"/>
      <c r="L88" s="131"/>
      <c r="M88" s="131"/>
      <c r="N88" s="131"/>
      <c r="O88" s="131">
        <v>35.57</v>
      </c>
      <c r="P88" s="131">
        <f>#N/A</f>
        <v>-35.57</v>
      </c>
      <c r="Q88" s="151">
        <f>#N/A</f>
        <v>0</v>
      </c>
      <c r="R88" s="131">
        <v>35.57</v>
      </c>
      <c r="S88" s="131">
        <f>#N/A</f>
        <v>-26.14</v>
      </c>
      <c r="T88" s="147"/>
      <c r="U88" s="129">
        <f>F88-червень!F88</f>
        <v>0</v>
      </c>
      <c r="V88" s="174">
        <f>G88-червень!G88</f>
        <v>0</v>
      </c>
      <c r="W88" s="131">
        <f>#N/A</f>
        <v>0</v>
      </c>
      <c r="X88" s="151"/>
      <c r="Y88" s="197"/>
    </row>
    <row r="89" spans="2:25" ht="31.5">
      <c r="B89" s="20" t="s">
        <v>28</v>
      </c>
      <c r="C89" s="58">
        <v>31030000</v>
      </c>
      <c r="D89" s="256">
        <v>5000</v>
      </c>
      <c r="E89" s="125">
        <f>5000+3318.039</f>
        <v>8318.039</v>
      </c>
      <c r="F89" s="125">
        <v>2000.03</v>
      </c>
      <c r="G89" s="126">
        <v>1597.11</v>
      </c>
      <c r="H89" s="112">
        <f>#N/A</f>
        <v>-402.9200000000001</v>
      </c>
      <c r="I89" s="213">
        <f>G89/F89</f>
        <v>0.7985430218546722</v>
      </c>
      <c r="J89" s="117">
        <f>G89-E89</f>
        <v>-6720.929000000001</v>
      </c>
      <c r="K89" s="147">
        <f>G89/E89</f>
        <v>0.1920055917025635</v>
      </c>
      <c r="L89" s="117"/>
      <c r="M89" s="117"/>
      <c r="N89" s="117"/>
      <c r="O89" s="117">
        <v>938.14</v>
      </c>
      <c r="P89" s="117">
        <f>#N/A</f>
        <v>7379.899</v>
      </c>
      <c r="Q89" s="147">
        <f>#N/A</f>
        <v>8.866522054277613</v>
      </c>
      <c r="R89" s="117">
        <v>3.77</v>
      </c>
      <c r="S89" s="117">
        <f>#N/A</f>
        <v>1593.34</v>
      </c>
      <c r="T89" s="147">
        <f>#N/A</f>
        <v>423.6366047745358</v>
      </c>
      <c r="U89" s="112">
        <f>F89-червень!F89</f>
        <v>500</v>
      </c>
      <c r="V89" s="118">
        <f>G89-червень!G89</f>
        <v>0.07999999999992724</v>
      </c>
      <c r="W89" s="117">
        <f>#N/A</f>
        <v>-499.9200000000001</v>
      </c>
      <c r="X89" s="147">
        <f>V89/U89</f>
        <v>0.00015999999999985449</v>
      </c>
      <c r="Y89" s="197">
        <f>#N/A</f>
        <v>414.7700827202582</v>
      </c>
    </row>
    <row r="90" spans="2:25" ht="18">
      <c r="B90" s="20" t="s">
        <v>29</v>
      </c>
      <c r="C90" s="58">
        <v>33010000</v>
      </c>
      <c r="D90" s="256">
        <v>16449</v>
      </c>
      <c r="E90" s="125">
        <v>16449</v>
      </c>
      <c r="F90" s="125">
        <v>6015</v>
      </c>
      <c r="G90" s="126">
        <v>1791.81</v>
      </c>
      <c r="H90" s="112">
        <f>#N/A</f>
        <v>-4223.1900000000005</v>
      </c>
      <c r="I90" s="213">
        <f>G90/F90</f>
        <v>0.29789027431421444</v>
      </c>
      <c r="J90" s="117">
        <f>#N/A</f>
        <v>-14657.19</v>
      </c>
      <c r="K90" s="147">
        <f>G90/E90</f>
        <v>0.10893124202079153</v>
      </c>
      <c r="L90" s="117"/>
      <c r="M90" s="117"/>
      <c r="N90" s="117"/>
      <c r="O90" s="117">
        <v>8143.65</v>
      </c>
      <c r="P90" s="117">
        <f>#N/A</f>
        <v>8305.35</v>
      </c>
      <c r="Q90" s="147">
        <f>#N/A</f>
        <v>2.0198559613932328</v>
      </c>
      <c r="R90" s="117">
        <v>5906.21</v>
      </c>
      <c r="S90" s="117">
        <f>#N/A</f>
        <v>-4114.4</v>
      </c>
      <c r="T90" s="147">
        <f>#N/A</f>
        <v>0.30337729271394004</v>
      </c>
      <c r="U90" s="112">
        <f>F90-червень!F90</f>
        <v>1000</v>
      </c>
      <c r="V90" s="118">
        <f>G90-червень!G90</f>
        <v>97.92999999999984</v>
      </c>
      <c r="W90" s="117">
        <f>#N/A</f>
        <v>-902.0700000000002</v>
      </c>
      <c r="X90" s="147">
        <f>V90/U90</f>
        <v>0.09792999999999984</v>
      </c>
      <c r="Y90" s="197">
        <f>#N/A</f>
        <v>-1.7164786686792928</v>
      </c>
    </row>
    <row r="91" spans="2:25" ht="31.5">
      <c r="B91" s="20" t="s">
        <v>48</v>
      </c>
      <c r="C91" s="58">
        <v>24170000</v>
      </c>
      <c r="D91" s="256">
        <v>22000</v>
      </c>
      <c r="E91" s="125">
        <f>22000+15</f>
        <v>22015</v>
      </c>
      <c r="F91" s="125">
        <v>14000</v>
      </c>
      <c r="G91" s="126">
        <v>4565.91</v>
      </c>
      <c r="H91" s="112">
        <f>#N/A</f>
        <v>-9434.09</v>
      </c>
      <c r="I91" s="213">
        <f>G91/F91</f>
        <v>0.32613642857142855</v>
      </c>
      <c r="J91" s="117">
        <f>#N/A</f>
        <v>-17449.09</v>
      </c>
      <c r="K91" s="147">
        <f>G91/E91</f>
        <v>0.20739995457642516</v>
      </c>
      <c r="L91" s="117"/>
      <c r="M91" s="117"/>
      <c r="N91" s="117"/>
      <c r="O91" s="117">
        <v>17305.88</v>
      </c>
      <c r="P91" s="117">
        <f>#N/A</f>
        <v>4709.119999999999</v>
      </c>
      <c r="Q91" s="147">
        <f>#N/A</f>
        <v>1.2721109819321526</v>
      </c>
      <c r="R91" s="117">
        <v>6971.3</v>
      </c>
      <c r="S91" s="117">
        <f>#N/A</f>
        <v>-2405.3900000000003</v>
      </c>
      <c r="T91" s="147">
        <f>#N/A</f>
        <v>0.6549581857042445</v>
      </c>
      <c r="U91" s="112">
        <f>F91-червень!F91</f>
        <v>2000</v>
      </c>
      <c r="V91" s="118">
        <f>G91-червень!G91</f>
        <v>1594.92</v>
      </c>
      <c r="W91" s="117">
        <f>#N/A</f>
        <v>-405.0799999999999</v>
      </c>
      <c r="X91" s="147">
        <f>V91/U91</f>
        <v>0.7974600000000001</v>
      </c>
      <c r="Y91" s="197">
        <f>#N/A</f>
        <v>-0.6171527962279081</v>
      </c>
    </row>
    <row r="92" spans="2:25" ht="18">
      <c r="B92" s="20" t="s">
        <v>88</v>
      </c>
      <c r="C92" s="58">
        <v>24110700</v>
      </c>
      <c r="D92" s="256">
        <v>24</v>
      </c>
      <c r="E92" s="125">
        <v>24</v>
      </c>
      <c r="F92" s="125">
        <v>14</v>
      </c>
      <c r="G92" s="126">
        <v>11</v>
      </c>
      <c r="H92" s="112">
        <f>#N/A</f>
        <v>-3</v>
      </c>
      <c r="I92" s="213">
        <f>G92/F92</f>
        <v>0.7857142857142857</v>
      </c>
      <c r="J92" s="117">
        <f>#N/A</f>
        <v>-13</v>
      </c>
      <c r="K92" s="147">
        <f>G92/E92</f>
        <v>0.4583333333333333</v>
      </c>
      <c r="L92" s="117"/>
      <c r="M92" s="117"/>
      <c r="N92" s="117"/>
      <c r="O92" s="117">
        <v>20</v>
      </c>
      <c r="P92" s="117">
        <f>#N/A</f>
        <v>4</v>
      </c>
      <c r="Q92" s="147">
        <f>#N/A</f>
        <v>1.2</v>
      </c>
      <c r="R92" s="117">
        <v>8</v>
      </c>
      <c r="S92" s="117">
        <f>#N/A</f>
        <v>3</v>
      </c>
      <c r="T92" s="147">
        <f>#N/A</f>
        <v>1.375</v>
      </c>
      <c r="U92" s="112">
        <f>F92-червень!F92</f>
        <v>2</v>
      </c>
      <c r="V92" s="118">
        <f>G92-червень!G92</f>
        <v>3</v>
      </c>
      <c r="W92" s="117">
        <f>#N/A</f>
        <v>1</v>
      </c>
      <c r="X92" s="147">
        <f>V92/U92</f>
        <v>1.5</v>
      </c>
      <c r="Y92" s="197">
        <f>#N/A</f>
        <v>0.17500000000000004</v>
      </c>
    </row>
    <row r="93" spans="2:25" ht="18">
      <c r="B93" s="20" t="s">
        <v>257</v>
      </c>
      <c r="C93" s="58">
        <v>21010800</v>
      </c>
      <c r="D93" s="256"/>
      <c r="E93" s="125"/>
      <c r="F93" s="125"/>
      <c r="G93" s="126">
        <v>0.17</v>
      </c>
      <c r="H93" s="112">
        <f>#N/A</f>
        <v>0.17</v>
      </c>
      <c r="I93" s="213"/>
      <c r="J93" s="117"/>
      <c r="K93" s="147"/>
      <c r="L93" s="117"/>
      <c r="M93" s="117"/>
      <c r="N93" s="117"/>
      <c r="O93" s="117"/>
      <c r="P93" s="117"/>
      <c r="Q93" s="147"/>
      <c r="R93" s="117"/>
      <c r="S93" s="117"/>
      <c r="T93" s="147"/>
      <c r="U93" s="112"/>
      <c r="V93" s="118">
        <f>G93-0</f>
        <v>0.17</v>
      </c>
      <c r="W93" s="117">
        <f>#N/A</f>
        <v>0.17</v>
      </c>
      <c r="X93" s="147"/>
      <c r="Y93" s="197"/>
    </row>
    <row r="94" spans="2:28" ht="33">
      <c r="B94" s="22" t="s">
        <v>46</v>
      </c>
      <c r="C94" s="53"/>
      <c r="D94" s="127">
        <f>D89+D90+D91+D92</f>
        <v>43473</v>
      </c>
      <c r="E94" s="127">
        <f>E89+E90+E91+E92</f>
        <v>46806.039000000004</v>
      </c>
      <c r="F94" s="127">
        <f>F89+F90+F91+F92</f>
        <v>22029.03</v>
      </c>
      <c r="G94" s="128">
        <f>G89+G90+G91+G92+G93</f>
        <v>7966</v>
      </c>
      <c r="H94" s="129">
        <f>#N/A</f>
        <v>-14063.029999999999</v>
      </c>
      <c r="I94" s="216">
        <f>G94/F94</f>
        <v>0.36161374331961055</v>
      </c>
      <c r="J94" s="131">
        <f>#N/A</f>
        <v>-38840.039000000004</v>
      </c>
      <c r="K94" s="151">
        <f>G94/E94</f>
        <v>0.1701917139367422</v>
      </c>
      <c r="L94" s="131"/>
      <c r="M94" s="131"/>
      <c r="N94" s="131"/>
      <c r="O94" s="131">
        <v>26407.66</v>
      </c>
      <c r="P94" s="131">
        <f>#N/A</f>
        <v>20398.379000000004</v>
      </c>
      <c r="Q94" s="151">
        <f>#N/A</f>
        <v>1.772441746069133</v>
      </c>
      <c r="R94" s="131">
        <v>12889.27</v>
      </c>
      <c r="S94" s="117">
        <f>#N/A</f>
        <v>-4923.27</v>
      </c>
      <c r="T94" s="147">
        <f>#N/A</f>
        <v>0.6180334495281734</v>
      </c>
      <c r="U94" s="129">
        <f>F94-червень!F93</f>
        <v>3502</v>
      </c>
      <c r="V94" s="174">
        <f>G94-червень!G93</f>
        <v>1696.1000000000004</v>
      </c>
      <c r="W94" s="131">
        <f>#N/A</f>
        <v>-1805.8999999999996</v>
      </c>
      <c r="X94" s="151">
        <f>V94/U94</f>
        <v>0.4843232438606512</v>
      </c>
      <c r="Y94" s="197">
        <f>#N/A</f>
        <v>-1.1544082965409597</v>
      </c>
      <c r="AB94" s="4" t="s">
        <v>202</v>
      </c>
    </row>
    <row r="95" spans="2:25" ht="46.5">
      <c r="B95" s="12" t="s">
        <v>35</v>
      </c>
      <c r="C95" s="60">
        <v>24062100</v>
      </c>
      <c r="D95" s="257">
        <v>43</v>
      </c>
      <c r="E95" s="125">
        <v>43</v>
      </c>
      <c r="F95" s="125">
        <v>23</v>
      </c>
      <c r="G95" s="126">
        <v>2.32</v>
      </c>
      <c r="H95" s="112">
        <f>#N/A</f>
        <v>-20.68</v>
      </c>
      <c r="I95" s="213"/>
      <c r="J95" s="117">
        <f>#N/A</f>
        <v>-40.68</v>
      </c>
      <c r="K95" s="147"/>
      <c r="L95" s="117"/>
      <c r="M95" s="117"/>
      <c r="N95" s="117"/>
      <c r="O95" s="117">
        <v>49.17</v>
      </c>
      <c r="P95" s="117">
        <f>#N/A</f>
        <v>-6.170000000000002</v>
      </c>
      <c r="Q95" s="147">
        <f>#N/A</f>
        <v>0.8745169818995322</v>
      </c>
      <c r="R95" s="117">
        <v>38.14</v>
      </c>
      <c r="S95" s="117">
        <f>#N/A</f>
        <v>-35.82</v>
      </c>
      <c r="T95" s="147">
        <f>#N/A</f>
        <v>0.06082852648138437</v>
      </c>
      <c r="U95" s="112">
        <f>F95-червень!F94</f>
        <v>4</v>
      </c>
      <c r="V95" s="118">
        <f>G95-червень!G94</f>
        <v>0.1299999999999999</v>
      </c>
      <c r="W95" s="117">
        <f>#N/A</f>
        <v>-3.87</v>
      </c>
      <c r="X95" s="147"/>
      <c r="Y95" s="197">
        <f>#N/A</f>
        <v>-0.8136884554181478</v>
      </c>
    </row>
    <row r="96" spans="2:25" ht="18" hidden="1">
      <c r="B96" s="166" t="s">
        <v>47</v>
      </c>
      <c r="C96" s="58">
        <v>24061600</v>
      </c>
      <c r="D96" s="256"/>
      <c r="E96" s="125">
        <v>0</v>
      </c>
      <c r="F96" s="125">
        <f>E96</f>
        <v>0</v>
      </c>
      <c r="G96" s="126">
        <v>0</v>
      </c>
      <c r="H96" s="112">
        <f>#N/A</f>
        <v>0</v>
      </c>
      <c r="I96" s="213"/>
      <c r="J96" s="117">
        <f>#N/A</f>
        <v>0</v>
      </c>
      <c r="K96" s="224"/>
      <c r="L96" s="134"/>
      <c r="M96" s="134"/>
      <c r="N96" s="134"/>
      <c r="O96" s="134"/>
      <c r="P96" s="117">
        <f>#N/A</f>
        <v>0</v>
      </c>
      <c r="Q96" s="147" t="e">
        <f>#N/A</f>
        <v>#DIV/0!</v>
      </c>
      <c r="R96" s="117">
        <f>O96</f>
        <v>0</v>
      </c>
      <c r="S96" s="117">
        <f>#N/A</f>
        <v>0</v>
      </c>
      <c r="T96" s="147" t="e">
        <f>#N/A</f>
        <v>#DIV/0!</v>
      </c>
      <c r="U96" s="112">
        <f>F96-червень!F95</f>
        <v>0</v>
      </c>
      <c r="V96" s="118">
        <f>G96-червень!G95</f>
        <v>0</v>
      </c>
      <c r="W96" s="117">
        <f>#N/A</f>
        <v>0</v>
      </c>
      <c r="X96" s="224"/>
      <c r="Y96" s="197" t="e">
        <f>#N/A</f>
        <v>#DIV/0!</v>
      </c>
    </row>
    <row r="97" spans="2:25" ht="18">
      <c r="B97" s="20" t="s">
        <v>41</v>
      </c>
      <c r="C97" s="58">
        <v>19010000</v>
      </c>
      <c r="D97" s="256">
        <v>9050</v>
      </c>
      <c r="E97" s="125">
        <v>9050</v>
      </c>
      <c r="F97" s="125">
        <v>5913.15</v>
      </c>
      <c r="G97" s="126">
        <v>5352.14</v>
      </c>
      <c r="H97" s="112">
        <f>#N/A</f>
        <v>-561.0099999999993</v>
      </c>
      <c r="I97" s="213">
        <f>G97/F97</f>
        <v>0.9051250179684264</v>
      </c>
      <c r="J97" s="117">
        <f>#N/A</f>
        <v>-3697.8599999999997</v>
      </c>
      <c r="K97" s="147">
        <f>G97/E97</f>
        <v>0.591396685082873</v>
      </c>
      <c r="L97" s="117"/>
      <c r="M97" s="117"/>
      <c r="N97" s="117"/>
      <c r="O97" s="117">
        <v>8033.94</v>
      </c>
      <c r="P97" s="117">
        <f>#N/A</f>
        <v>1016.0600000000004</v>
      </c>
      <c r="Q97" s="147">
        <f>#N/A</f>
        <v>1.1264709470073215</v>
      </c>
      <c r="R97" s="117">
        <v>5113.7</v>
      </c>
      <c r="S97" s="117">
        <f>#N/A</f>
        <v>238.4400000000005</v>
      </c>
      <c r="T97" s="147">
        <f>#N/A</f>
        <v>1.0466276864110136</v>
      </c>
      <c r="U97" s="112">
        <f>F97-червень!F96</f>
        <v>10.099999999999454</v>
      </c>
      <c r="V97" s="118">
        <f>G97-червень!G96</f>
        <v>62.289999999999964</v>
      </c>
      <c r="W97" s="117">
        <f>#N/A</f>
        <v>52.19000000000051</v>
      </c>
      <c r="X97" s="147">
        <f>V97/U97</f>
        <v>6.1673267326735965</v>
      </c>
      <c r="Y97" s="197">
        <f>#N/A</f>
        <v>-0.07984326059630797</v>
      </c>
    </row>
    <row r="98" spans="2:25" ht="31.5" hidden="1">
      <c r="B98" s="20" t="s">
        <v>45</v>
      </c>
      <c r="C98" s="58">
        <v>19050000</v>
      </c>
      <c r="D98" s="242"/>
      <c r="E98" s="125">
        <v>0</v>
      </c>
      <c r="F98" s="125">
        <v>0</v>
      </c>
      <c r="G98" s="126">
        <v>0</v>
      </c>
      <c r="H98" s="112">
        <f>#N/A</f>
        <v>0</v>
      </c>
      <c r="I98" s="213"/>
      <c r="J98" s="117">
        <f>#N/A</f>
        <v>0</v>
      </c>
      <c r="K98" s="147"/>
      <c r="L98" s="117"/>
      <c r="M98" s="117"/>
      <c r="N98" s="117"/>
      <c r="O98" s="117">
        <v>0.1</v>
      </c>
      <c r="P98" s="117">
        <f>#N/A</f>
        <v>-0.1</v>
      </c>
      <c r="Q98" s="147">
        <f>#N/A</f>
        <v>0</v>
      </c>
      <c r="R98" s="117">
        <v>0</v>
      </c>
      <c r="S98" s="117">
        <f>#N/A</f>
        <v>0</v>
      </c>
      <c r="T98" s="147" t="e">
        <f>#N/A</f>
        <v>#DIV/0!</v>
      </c>
      <c r="U98" s="112">
        <f>F98-червень!F97</f>
        <v>0</v>
      </c>
      <c r="V98" s="118">
        <f>G98-березень!G96</f>
        <v>0</v>
      </c>
      <c r="W98" s="117">
        <f>#N/A</f>
        <v>0</v>
      </c>
      <c r="X98" s="224"/>
      <c r="Y98" s="197" t="e">
        <f>#N/A</f>
        <v>#DIV/0!</v>
      </c>
    </row>
    <row r="99" spans="2:25" ht="30.75">
      <c r="B99" s="22" t="s">
        <v>42</v>
      </c>
      <c r="C99" s="58"/>
      <c r="D99" s="127">
        <f>D95+D98+D96+D97</f>
        <v>9093</v>
      </c>
      <c r="E99" s="127">
        <f>E95+E98+E96+E97</f>
        <v>9093</v>
      </c>
      <c r="F99" s="127">
        <f>F95+F98+F96+F97</f>
        <v>5936.15</v>
      </c>
      <c r="G99" s="128">
        <f>G95+G98+G96+G97</f>
        <v>5354.46</v>
      </c>
      <c r="H99" s="129">
        <f>#N/A</f>
        <v>-581.6899999999996</v>
      </c>
      <c r="I99" s="216">
        <f>G99/F99</f>
        <v>0.902008877808007</v>
      </c>
      <c r="J99" s="131">
        <f>#N/A</f>
        <v>-3738.54</v>
      </c>
      <c r="K99" s="151">
        <f>G99/E99</f>
        <v>0.5888551633124381</v>
      </c>
      <c r="L99" s="131"/>
      <c r="M99" s="131"/>
      <c r="N99" s="131"/>
      <c r="O99" s="131">
        <v>8083.21</v>
      </c>
      <c r="P99" s="131">
        <f>#N/A</f>
        <v>1009.79</v>
      </c>
      <c r="Q99" s="151">
        <f>#N/A</f>
        <v>1.1249243802895137</v>
      </c>
      <c r="R99" s="131">
        <v>5151.89</v>
      </c>
      <c r="S99" s="117">
        <f>#N/A</f>
        <v>202.5699999999997</v>
      </c>
      <c r="T99" s="147">
        <f>#N/A</f>
        <v>1.0393195506891646</v>
      </c>
      <c r="U99" s="129">
        <f>F99-червень!F98</f>
        <v>14.099999999999454</v>
      </c>
      <c r="V99" s="174">
        <f>G99-червень!G98</f>
        <v>62.42000000000007</v>
      </c>
      <c r="W99" s="131">
        <f>#N/A</f>
        <v>48.32000000000062</v>
      </c>
      <c r="X99" s="151">
        <f>V99/U99</f>
        <v>4.426950354610105</v>
      </c>
      <c r="Y99" s="197">
        <f>#N/A</f>
        <v>-0.0856048296003491</v>
      </c>
    </row>
    <row r="100" spans="2:25" ht="30.75">
      <c r="B100" s="12" t="s">
        <v>36</v>
      </c>
      <c r="C100" s="34">
        <v>24110900</v>
      </c>
      <c r="D100" s="229">
        <v>19.413</v>
      </c>
      <c r="E100" s="125">
        <v>47.413</v>
      </c>
      <c r="F100" s="125">
        <v>26.28</v>
      </c>
      <c r="G100" s="126">
        <v>31.51</v>
      </c>
      <c r="H100" s="112">
        <f>#N/A</f>
        <v>5.23</v>
      </c>
      <c r="I100" s="213">
        <f>G100/F100</f>
        <v>1.1990106544901065</v>
      </c>
      <c r="J100" s="117">
        <f>#N/A</f>
        <v>-15.902999999999995</v>
      </c>
      <c r="K100" s="147">
        <f>G100/E100</f>
        <v>0.6645856621601671</v>
      </c>
      <c r="L100" s="117"/>
      <c r="M100" s="117"/>
      <c r="N100" s="117"/>
      <c r="O100" s="117">
        <v>37.96</v>
      </c>
      <c r="P100" s="117">
        <f>#N/A</f>
        <v>9.452999999999996</v>
      </c>
      <c r="Q100" s="147">
        <f>#N/A</f>
        <v>1.2490252897787144</v>
      </c>
      <c r="R100" s="131">
        <v>12.43</v>
      </c>
      <c r="S100" s="117">
        <f>#N/A</f>
        <v>19.080000000000002</v>
      </c>
      <c r="T100" s="147">
        <f>#N/A</f>
        <v>2.5349959774738537</v>
      </c>
      <c r="U100" s="112">
        <f>F100-червень!F99</f>
        <v>1.7600000000000016</v>
      </c>
      <c r="V100" s="118">
        <f>G100-червень!G99</f>
        <v>3.4200000000000017</v>
      </c>
      <c r="W100" s="117">
        <f>#N/A</f>
        <v>1.6600000000000001</v>
      </c>
      <c r="X100" s="147">
        <f>V100/U100</f>
        <v>1.9431818181818175</v>
      </c>
      <c r="Y100" s="197">
        <f>#N/A</f>
        <v>1.2859706876951393</v>
      </c>
    </row>
    <row r="101" spans="2:25" ht="18" hidden="1">
      <c r="B101" s="83"/>
      <c r="C101" s="34">
        <v>21110000</v>
      </c>
      <c r="D101" s="229"/>
      <c r="E101" s="125">
        <v>0</v>
      </c>
      <c r="F101" s="125">
        <v>0</v>
      </c>
      <c r="G101" s="126"/>
      <c r="H101" s="112" t="e">
        <f>#N/A</f>
        <v>#N/A</v>
      </c>
      <c r="I101" s="213"/>
      <c r="J101" s="117" t="e">
        <f>#N/A</f>
        <v>#N/A</v>
      </c>
      <c r="K101" s="147"/>
      <c r="L101" s="117"/>
      <c r="M101" s="117"/>
      <c r="N101" s="117"/>
      <c r="O101" s="117"/>
      <c r="P101" s="117"/>
      <c r="Q101" s="147"/>
      <c r="R101" s="117">
        <v>18.76</v>
      </c>
      <c r="S101" s="131" t="e">
        <f>#N/A</f>
        <v>#N/A</v>
      </c>
      <c r="T101" s="147">
        <f>#N/A</f>
        <v>0</v>
      </c>
      <c r="U101" s="114" t="e">
        <f>F101-#REF!</f>
        <v>#REF!</v>
      </c>
      <c r="V101" s="118" t="e">
        <f>G101-#REF!</f>
        <v>#REF!</v>
      </c>
      <c r="W101" s="117" t="e">
        <f>#N/A</f>
        <v>#N/A</v>
      </c>
      <c r="X101" s="147"/>
      <c r="Y101" s="197">
        <f>#N/A</f>
        <v>0</v>
      </c>
    </row>
    <row r="102" spans="2:25" ht="23.25" customHeight="1">
      <c r="B102" s="181" t="s">
        <v>30</v>
      </c>
      <c r="C102" s="182"/>
      <c r="D102" s="183">
        <f>D87+D88+D94+D99+D100</f>
        <v>52585.413</v>
      </c>
      <c r="E102" s="183">
        <f>E87+E88+E94+E99+E100</f>
        <v>55946.452000000005</v>
      </c>
      <c r="F102" s="183">
        <f>F87+F88+F94+F99+F100</f>
        <v>27991.46</v>
      </c>
      <c r="G102" s="183">
        <f>G87+G88+G94+G99+G100</f>
        <v>13361.41</v>
      </c>
      <c r="H102" s="184">
        <f>G102-F102</f>
        <v>-14630.05</v>
      </c>
      <c r="I102" s="217">
        <f>G102/F102</f>
        <v>0.47733880262051354</v>
      </c>
      <c r="J102" s="177">
        <f>G102-E102</f>
        <v>-42585.042</v>
      </c>
      <c r="K102" s="178">
        <f>G102/E102</f>
        <v>0.2388249749957334</v>
      </c>
      <c r="L102" s="177"/>
      <c r="M102" s="177"/>
      <c r="N102" s="177"/>
      <c r="O102" s="177">
        <v>34561.77</v>
      </c>
      <c r="P102" s="177">
        <f>E102-O102</f>
        <v>21384.682000000008</v>
      </c>
      <c r="Q102" s="178">
        <f>E102/O102</f>
        <v>1.6187380449554525</v>
      </c>
      <c r="R102" s="183">
        <v>18086.52</v>
      </c>
      <c r="S102" s="177">
        <f>G102-R102</f>
        <v>-4725.110000000001</v>
      </c>
      <c r="T102" s="178">
        <f>#N/A</f>
        <v>0.738749632322857</v>
      </c>
      <c r="U102" s="183">
        <f>U87+U88+U94+U99+U100</f>
        <v>3517.8599999999997</v>
      </c>
      <c r="V102" s="183">
        <f>V87+V88+V94+V99+V100</f>
        <v>1761.9400000000005</v>
      </c>
      <c r="W102" s="177">
        <f>V102-U102</f>
        <v>-1755.9199999999992</v>
      </c>
      <c r="X102" s="178">
        <f>V102/U102</f>
        <v>0.5008556338228357</v>
      </c>
      <c r="Y102" s="197">
        <f>T102-Q102</f>
        <v>-0.8799884126325955</v>
      </c>
    </row>
    <row r="103" spans="2:25" ht="17.25">
      <c r="B103" s="185" t="s">
        <v>103</v>
      </c>
      <c r="C103" s="182"/>
      <c r="D103" s="251">
        <f>D80+D102</f>
        <v>1680503.113</v>
      </c>
      <c r="E103" s="183">
        <f>E80+E102</f>
        <v>1709481.2519999999</v>
      </c>
      <c r="F103" s="183">
        <f>F80+F102</f>
        <v>936203.55</v>
      </c>
      <c r="G103" s="183">
        <f>G80+G102</f>
        <v>952612.26</v>
      </c>
      <c r="H103" s="184">
        <f>G103-F103</f>
        <v>16408.709999999963</v>
      </c>
      <c r="I103" s="217">
        <f>G103/F103</f>
        <v>1.0175268615462951</v>
      </c>
      <c r="J103" s="177">
        <f>G103-E103</f>
        <v>-756868.9919999999</v>
      </c>
      <c r="K103" s="178">
        <f>G103/E103</f>
        <v>0.5572522418046385</v>
      </c>
      <c r="L103" s="177"/>
      <c r="M103" s="177"/>
      <c r="N103" s="177"/>
      <c r="O103" s="177">
        <f>O80+O102</f>
        <v>1433558.23</v>
      </c>
      <c r="P103" s="177">
        <f>E103-O103</f>
        <v>275923.0219999999</v>
      </c>
      <c r="Q103" s="178">
        <f>E103/O103</f>
        <v>1.1924742338509682</v>
      </c>
      <c r="R103" s="177">
        <f>R80+R102</f>
        <v>784146.2000000001</v>
      </c>
      <c r="S103" s="177">
        <f>S80+S102</f>
        <v>168466.05999999994</v>
      </c>
      <c r="T103" s="178">
        <f>#N/A</f>
        <v>1.214840115274422</v>
      </c>
      <c r="U103" s="184">
        <f>U80+U102</f>
        <v>150098.43000000002</v>
      </c>
      <c r="V103" s="184">
        <f>V80+V102</f>
        <v>139858.94999999995</v>
      </c>
      <c r="W103" s="177">
        <f>V103-U103</f>
        <v>-10239.480000000069</v>
      </c>
      <c r="X103" s="178">
        <f>V103/U103</f>
        <v>0.9317815649370879</v>
      </c>
      <c r="Y103" s="197">
        <f>T103-Q103</f>
        <v>0.02236588142345375</v>
      </c>
    </row>
    <row r="104" spans="2:24" ht="15">
      <c r="B104" s="262" t="s">
        <v>159</v>
      </c>
      <c r="D104" s="4"/>
      <c r="F104" s="78"/>
      <c r="G104" s="4"/>
      <c r="U104" s="226"/>
      <c r="V104" s="226"/>
      <c r="W104" s="226"/>
      <c r="X104" s="226"/>
    </row>
    <row r="105" spans="2:24" ht="15">
      <c r="B105" s="4" t="s">
        <v>160</v>
      </c>
      <c r="C105" s="264">
        <v>0</v>
      </c>
      <c r="D105" s="4" t="s">
        <v>161</v>
      </c>
      <c r="F105" s="78"/>
      <c r="G105" s="4"/>
      <c r="U105" s="226"/>
      <c r="V105" s="226"/>
      <c r="W105" s="226"/>
      <c r="X105" s="226"/>
    </row>
    <row r="106" spans="2:22" ht="30.75">
      <c r="B106" s="266" t="s">
        <v>162</v>
      </c>
      <c r="C106" s="267"/>
      <c r="D106" s="4" t="s">
        <v>24</v>
      </c>
      <c r="F106" s="78"/>
      <c r="G106" s="267">
        <f>IF(H80&lt;0,ABS(H80/C105),0)</f>
        <v>0</v>
      </c>
      <c r="H106" s="268"/>
      <c r="I106" s="268"/>
      <c r="J106" s="268"/>
      <c r="V106" s="267" t="e">
        <f>IF(W80&lt;0,ABS(W80/C105),0)</f>
        <v>#DIV/0!</v>
      </c>
    </row>
    <row r="107" spans="2:7" ht="30.75">
      <c r="B107" s="270" t="s">
        <v>163</v>
      </c>
      <c r="C107" s="271">
        <v>43312</v>
      </c>
      <c r="D107" s="267"/>
      <c r="E107" s="267">
        <v>8922.7</v>
      </c>
      <c r="F107" s="78"/>
      <c r="G107" s="4" t="s">
        <v>164</v>
      </c>
    </row>
    <row r="108" spans="3:10" ht="15">
      <c r="C108" s="271">
        <v>43311</v>
      </c>
      <c r="D108" s="267"/>
      <c r="E108" s="267">
        <v>11630.1</v>
      </c>
      <c r="F108" s="78"/>
      <c r="G108" s="500"/>
      <c r="H108" s="500"/>
      <c r="I108" s="273"/>
      <c r="J108" s="274"/>
    </row>
    <row r="109" spans="3:10" ht="15">
      <c r="C109" s="271">
        <v>43308</v>
      </c>
      <c r="D109" s="267"/>
      <c r="E109" s="267">
        <v>10281.4</v>
      </c>
      <c r="F109" s="78"/>
      <c r="G109" s="500"/>
      <c r="H109" s="500"/>
      <c r="I109" s="273"/>
      <c r="J109" s="276"/>
    </row>
    <row r="110" spans="3:10" ht="15">
      <c r="C110" s="271"/>
      <c r="D110" s="4"/>
      <c r="F110" s="278"/>
      <c r="G110" s="501"/>
      <c r="H110" s="501"/>
      <c r="I110" s="279"/>
      <c r="J110" s="274"/>
    </row>
    <row r="111" spans="2:10" ht="16.5">
      <c r="B111" s="502" t="s">
        <v>165</v>
      </c>
      <c r="C111" s="503"/>
      <c r="D111" s="280"/>
      <c r="E111" s="434">
        <f>'[1]залишки'!$G$6/1000</f>
        <v>1127.463</v>
      </c>
      <c r="F111" s="282" t="s">
        <v>166</v>
      </c>
      <c r="G111" s="500"/>
      <c r="H111" s="500"/>
      <c r="I111" s="283"/>
      <c r="J111" s="274"/>
    </row>
    <row r="112" spans="4:10" ht="15">
      <c r="D112" s="4"/>
      <c r="F112" s="278"/>
      <c r="G112" s="500"/>
      <c r="H112" s="500"/>
      <c r="I112" s="278"/>
      <c r="J112" s="281"/>
    </row>
    <row r="113" spans="2:10" ht="15" customHeight="1" hidden="1">
      <c r="B113" s="499"/>
      <c r="C113" s="499"/>
      <c r="D113" s="285"/>
      <c r="E113" s="286"/>
      <c r="F113" s="278"/>
      <c r="G113" s="500"/>
      <c r="H113" s="500"/>
      <c r="I113" s="278"/>
      <c r="J113" s="281"/>
    </row>
    <row r="114" spans="2:24" ht="15" hidden="1">
      <c r="B114" s="287" t="s">
        <v>168</v>
      </c>
      <c r="D114" s="278">
        <f>D60+D63+D64</f>
        <v>2095</v>
      </c>
      <c r="E114" s="278">
        <f>#N/A</f>
        <v>2095</v>
      </c>
      <c r="F114" s="278">
        <f>#N/A</f>
        <v>1200.3</v>
      </c>
      <c r="G114" s="435">
        <f>#N/A</f>
        <v>1208.0900000000001</v>
      </c>
      <c r="H114" s="278">
        <f>#N/A</f>
        <v>7.790000000000003</v>
      </c>
      <c r="I114" s="436">
        <f>G114/F114</f>
        <v>1.006490044155628</v>
      </c>
      <c r="J114" s="278">
        <f>#N/A</f>
        <v>-886.91</v>
      </c>
      <c r="K114" s="436">
        <f>G114/E114</f>
        <v>0.5766539379474941</v>
      </c>
      <c r="L114" s="278">
        <f>#N/A</f>
        <v>0</v>
      </c>
      <c r="M114" s="278">
        <f>#N/A</f>
        <v>0</v>
      </c>
      <c r="N114" s="278">
        <f>#N/A</f>
        <v>0</v>
      </c>
      <c r="O114" s="278">
        <f>#N/A</f>
        <v>1956.6200000000001</v>
      </c>
      <c r="P114" s="278">
        <f>#N/A</f>
        <v>138.37999999999994</v>
      </c>
      <c r="Q114" s="436">
        <f>E114/O114</f>
        <v>1.0707240036389283</v>
      </c>
      <c r="R114" s="278">
        <f>#N/A</f>
        <v>1046.69</v>
      </c>
      <c r="S114" s="278">
        <f>#N/A</f>
        <v>161.39999999999998</v>
      </c>
      <c r="T114" s="436">
        <f>G114/R114</f>
        <v>1.1542003840678712</v>
      </c>
      <c r="U114" s="278">
        <f>#N/A</f>
        <v>189.3</v>
      </c>
      <c r="V114" s="288">
        <f>#N/A</f>
        <v>224.59999999999997</v>
      </c>
      <c r="W114" s="278">
        <f>#N/A</f>
        <v>35.299999999999955</v>
      </c>
      <c r="X114" s="436">
        <f>V114/U114</f>
        <v>1.1864764923402005</v>
      </c>
    </row>
    <row r="115" spans="4:9" ht="15" hidden="1">
      <c r="D115" s="265"/>
      <c r="F115" s="78"/>
      <c r="G115" s="4"/>
      <c r="I115" s="267"/>
    </row>
    <row r="116" spans="2:10" ht="15" hidden="1">
      <c r="B116" s="4" t="s">
        <v>204</v>
      </c>
      <c r="D116" s="267">
        <f>D9+D15+D18+D19+D23+D54+D57+D59+D71+D78+D95+D97</f>
        <v>1592543.3</v>
      </c>
      <c r="E116" s="267">
        <f>E9+E15+E18+E19+E23+E54+E57+E59+E71+E78+E95+E97</f>
        <v>1615160.4</v>
      </c>
      <c r="F116" s="267">
        <f>F9+F15+F18+F19+F23+F54+F57+F59+F71+F78+F95+F97</f>
        <v>885412.0700000001</v>
      </c>
      <c r="G116" s="289">
        <f>G9+G15+G18+G19+G23+G54+G57+G59+G71+G78+G95+G97</f>
        <v>914596.22</v>
      </c>
      <c r="H116" s="267">
        <f>H9+H15+H18+H19+H23+H54+H57+H59+H71+H78+H95+H97</f>
        <v>29184.149999999918</v>
      </c>
      <c r="I116" s="163">
        <f>G116/F116</f>
        <v>1.0329610934714273</v>
      </c>
      <c r="J116" s="267"/>
    </row>
    <row r="117" spans="2:10" ht="15" hidden="1">
      <c r="B117" s="4" t="s">
        <v>205</v>
      </c>
      <c r="D117" s="267">
        <f>D55+D58+D60+D63+D64+D65+D72+D76+D89+D90+D91+D92+D100</f>
        <v>65675.813</v>
      </c>
      <c r="E117" s="267">
        <f>E55+E58+E60+E63+E64+E65+E72+E76+E89+E90+E91+E92+E100</f>
        <v>71036.852</v>
      </c>
      <c r="F117" s="267">
        <f>F55+F58+F60+F63+F64+F65+F72+F76+F89+F90+F91+F92+F100</f>
        <v>36324.34</v>
      </c>
      <c r="G117" s="289">
        <f>G55+G58+G60+G63+G64+G65+G72+G76+G89+G90+G91+G92+G100</f>
        <v>23783.109999999997</v>
      </c>
      <c r="H117" s="267">
        <f>H55+H58+H60+H63+H64+H65+H72+H76+H89+H90+H91+H92+H100</f>
        <v>-12541.230000000001</v>
      </c>
      <c r="I117" s="163">
        <f>G117/F117</f>
        <v>0.6547430731019476</v>
      </c>
      <c r="J117" s="267"/>
    </row>
    <row r="118" spans="2:10" ht="15" hidden="1">
      <c r="B118" s="4" t="s">
        <v>206</v>
      </c>
      <c r="D118" s="267">
        <f>D56+D62+D66+D79</f>
        <v>22284</v>
      </c>
      <c r="E118" s="267">
        <f>E56+E62+E66+E79</f>
        <v>23284</v>
      </c>
      <c r="F118" s="267">
        <f>F56+F62+F66+F79</f>
        <v>14467.14</v>
      </c>
      <c r="G118" s="289">
        <f>G56+G62+G66+G79</f>
        <v>14223.23</v>
      </c>
      <c r="H118" s="267">
        <f>H56+H62+H66+H79</f>
        <v>-243.91000000000088</v>
      </c>
      <c r="I118" s="163">
        <f>G118/F118</f>
        <v>0.9831404133781798</v>
      </c>
      <c r="J118" s="267"/>
    </row>
    <row r="119" spans="2:10" ht="15" hidden="1">
      <c r="B119" s="365" t="s">
        <v>207</v>
      </c>
      <c r="C119" s="438"/>
      <c r="D119" s="439">
        <f>D116+D117+D118</f>
        <v>1680503.1130000001</v>
      </c>
      <c r="E119" s="439">
        <f>E116+E117+E118</f>
        <v>1709481.2519999999</v>
      </c>
      <c r="F119" s="439">
        <f>F116+F117+F118</f>
        <v>936203.55</v>
      </c>
      <c r="G119" s="440">
        <f>G116+G117+G118</f>
        <v>952602.5599999999</v>
      </c>
      <c r="H119" s="439">
        <f>H116+H117+H118</f>
        <v>16399.00999999992</v>
      </c>
      <c r="I119" s="441">
        <f>G119/F119</f>
        <v>1.017516500551616</v>
      </c>
      <c r="J119" s="267"/>
    </row>
    <row r="120" spans="4:10" ht="15" hidden="1">
      <c r="D120" s="267">
        <f>D119-D103</f>
        <v>0</v>
      </c>
      <c r="E120" s="267">
        <f>E119-E103</f>
        <v>0</v>
      </c>
      <c r="F120" s="267">
        <f>F119-F103</f>
        <v>0</v>
      </c>
      <c r="G120" s="289">
        <f>G119-G103</f>
        <v>-9.70000000006985</v>
      </c>
      <c r="H120" s="267">
        <f>H119-H103</f>
        <v>-9.700000000044383</v>
      </c>
      <c r="I120" s="163"/>
      <c r="J120" s="267"/>
    </row>
    <row r="121" spans="4:7" ht="15" hidden="1">
      <c r="D121" s="4"/>
      <c r="E121" s="4" t="s">
        <v>164</v>
      </c>
      <c r="F121" s="78"/>
      <c r="G121" s="4"/>
    </row>
    <row r="122" spans="2:7" ht="15" hidden="1">
      <c r="B122" s="272"/>
      <c r="D122" s="4"/>
      <c r="E122" s="267"/>
      <c r="F122" s="78"/>
      <c r="G122" s="4"/>
    </row>
    <row r="123" spans="2:8" ht="15" hidden="1">
      <c r="B123" s="272"/>
      <c r="D123" s="4"/>
      <c r="E123" s="267"/>
      <c r="F123" s="78"/>
      <c r="G123" s="4"/>
      <c r="H123" s="267"/>
    </row>
    <row r="124" spans="4:11" ht="15" hidden="1">
      <c r="D124" s="3"/>
      <c r="F124" s="78"/>
      <c r="G124" s="4"/>
      <c r="H124" s="267"/>
      <c r="I124" s="3"/>
      <c r="K124" s="3"/>
    </row>
    <row r="125" spans="2:12" ht="18" hidden="1">
      <c r="B125" s="83" t="s">
        <v>174</v>
      </c>
      <c r="C125" s="34">
        <v>25000000</v>
      </c>
      <c r="D125" s="125">
        <v>90449.655</v>
      </c>
      <c r="E125" s="458">
        <v>18102.06</v>
      </c>
      <c r="F125" s="458">
        <v>20254.32</v>
      </c>
      <c r="G125" s="459">
        <v>2152.2599999999984</v>
      </c>
      <c r="H125" s="114">
        <f>G125-F125</f>
        <v>-18102.06</v>
      </c>
      <c r="I125" s="147">
        <f>#N/A</f>
        <v>0.10626177526572102</v>
      </c>
      <c r="J125" s="117">
        <f>G125-E125</f>
        <v>-15949.800000000003</v>
      </c>
      <c r="K125" s="147">
        <f>G125/E125</f>
        <v>0.1188958604711286</v>
      </c>
      <c r="L125" s="3"/>
    </row>
    <row r="126" spans="2:12" ht="17.25" hidden="1">
      <c r="B126" s="13" t="s">
        <v>30</v>
      </c>
      <c r="C126" s="294"/>
      <c r="D126" s="295">
        <f>D125+D102</f>
        <v>143035.068</v>
      </c>
      <c r="E126" s="295">
        <f>#N/A</f>
        <v>74048.512</v>
      </c>
      <c r="F126" s="295">
        <f>#N/A</f>
        <v>48245.78</v>
      </c>
      <c r="G126" s="295">
        <f>#N/A</f>
        <v>15513.669999999998</v>
      </c>
      <c r="H126" s="295">
        <f>#N/A</f>
        <v>-32732.11</v>
      </c>
      <c r="I126" s="447">
        <f>#N/A</f>
        <v>0.32155496294183655</v>
      </c>
      <c r="J126" s="295">
        <f>#N/A</f>
        <v>-58534.842000000004</v>
      </c>
      <c r="K126" s="447">
        <f>G126/F126</f>
        <v>0.32155496294183655</v>
      </c>
      <c r="L126" s="3"/>
    </row>
    <row r="127" spans="2:12" ht="17.25" hidden="1">
      <c r="B127" s="302" t="s">
        <v>175</v>
      </c>
      <c r="C127" s="294"/>
      <c r="D127" s="295">
        <f>D103+D125</f>
        <v>1770952.768</v>
      </c>
      <c r="E127" s="295">
        <f>#N/A</f>
        <v>1727583.312</v>
      </c>
      <c r="F127" s="295">
        <f>#N/A</f>
        <v>956457.87</v>
      </c>
      <c r="G127" s="295">
        <f>#N/A</f>
        <v>954764.52</v>
      </c>
      <c r="H127" s="295">
        <f>#N/A</f>
        <v>-1693.3500000000386</v>
      </c>
      <c r="I127" s="447">
        <f>#N/A</f>
        <v>0.9982295613292408</v>
      </c>
      <c r="J127" s="295">
        <f>#N/A</f>
        <v>-772818.7919999999</v>
      </c>
      <c r="K127" s="447">
        <f>G127/F127</f>
        <v>0.9982295613292408</v>
      </c>
      <c r="L127" s="3"/>
    </row>
    <row r="128" spans="2:12" ht="15" hidden="1">
      <c r="B128" s="304" t="s">
        <v>176</v>
      </c>
      <c r="C128" s="305">
        <v>40000000</v>
      </c>
      <c r="D128" s="306">
        <v>1499675.196</v>
      </c>
      <c r="E128" s="306">
        <v>1499675.2</v>
      </c>
      <c r="F128" s="460">
        <v>322086.73</v>
      </c>
      <c r="G128" s="460"/>
      <c r="H128" s="306">
        <f>G128-F128</f>
        <v>-322086.73</v>
      </c>
      <c r="I128" s="448">
        <f>#N/A</f>
        <v>0</v>
      </c>
      <c r="J128" s="29">
        <f>G128-E128</f>
        <v>-1499675.2</v>
      </c>
      <c r="K128" s="448">
        <f>G128/E128</f>
        <v>0</v>
      </c>
      <c r="L128" s="3"/>
    </row>
    <row r="129" spans="2:12" ht="26.25" hidden="1">
      <c r="B129" s="450" t="s">
        <v>211</v>
      </c>
      <c r="C129" s="451">
        <v>41033900</v>
      </c>
      <c r="D129" s="452">
        <v>249086.1</v>
      </c>
      <c r="E129" s="453">
        <v>249086.1</v>
      </c>
      <c r="F129" s="453">
        <v>38359.2</v>
      </c>
      <c r="G129" s="452">
        <v>38359.2</v>
      </c>
      <c r="H129" s="452">
        <f>G129-F129</f>
        <v>0</v>
      </c>
      <c r="I129" s="145">
        <f>#N/A</f>
        <v>1</v>
      </c>
      <c r="J129" s="74">
        <f>G129-E129</f>
        <v>-210726.90000000002</v>
      </c>
      <c r="K129" s="145">
        <f>G129/E129</f>
        <v>0.15399976152824263</v>
      </c>
      <c r="L129" s="3"/>
    </row>
    <row r="130" spans="2:12" ht="26.25" hidden="1">
      <c r="B130" s="450" t="s">
        <v>212</v>
      </c>
      <c r="C130" s="451">
        <v>41034200</v>
      </c>
      <c r="D130" s="452">
        <v>226186</v>
      </c>
      <c r="E130" s="452">
        <v>226186</v>
      </c>
      <c r="F130" s="452">
        <v>44005.9</v>
      </c>
      <c r="G130" s="452">
        <v>44005.9</v>
      </c>
      <c r="H130" s="452">
        <f>G130-F130</f>
        <v>0</v>
      </c>
      <c r="I130" s="145">
        <f>#N/A</f>
        <v>1</v>
      </c>
      <c r="J130" s="74">
        <f>G130-E130</f>
        <v>-182180.1</v>
      </c>
      <c r="K130" s="145">
        <f>G130/E130</f>
        <v>0.19455625016579275</v>
      </c>
      <c r="L130" s="3"/>
    </row>
    <row r="131" spans="2:12" ht="15" hidden="1">
      <c r="B131" s="304" t="s">
        <v>208</v>
      </c>
      <c r="C131" s="305"/>
      <c r="D131" s="306">
        <v>0</v>
      </c>
      <c r="E131" s="306">
        <v>0</v>
      </c>
      <c r="F131" s="306">
        <v>0</v>
      </c>
      <c r="G131" s="306">
        <v>0</v>
      </c>
      <c r="H131" s="306">
        <f>G131-F131</f>
        <v>0</v>
      </c>
      <c r="I131" s="448" t="e">
        <f>#N/A</f>
        <v>#DIV/0!</v>
      </c>
      <c r="J131" s="29">
        <f>G131-E131</f>
        <v>0</v>
      </c>
      <c r="K131" s="448" t="e">
        <f>G131/E131</f>
        <v>#DIV/0!</v>
      </c>
      <c r="L131" s="3"/>
    </row>
    <row r="132" spans="2:12" ht="18" hidden="1">
      <c r="B132" s="312" t="s">
        <v>179</v>
      </c>
      <c r="C132" s="313"/>
      <c r="D132" s="314">
        <f>D127+D128+D131</f>
        <v>3270627.9639999997</v>
      </c>
      <c r="E132" s="314">
        <f>#N/A</f>
        <v>3227258.512</v>
      </c>
      <c r="F132" s="314">
        <f>#N/A</f>
        <v>1278544.6</v>
      </c>
      <c r="G132" s="314">
        <f>#N/A</f>
        <v>954764.52</v>
      </c>
      <c r="H132" s="314">
        <f>#N/A</f>
        <v>-323780.08</v>
      </c>
      <c r="I132" s="449">
        <f>#N/A</f>
        <v>0.746758869420746</v>
      </c>
      <c r="J132" s="314">
        <f>#N/A</f>
        <v>-2272493.9919999996</v>
      </c>
      <c r="K132" s="449">
        <f>G132/E132</f>
        <v>0.29584383043684725</v>
      </c>
      <c r="L132" s="3"/>
    </row>
    <row r="133" spans="4:7" ht="15" hidden="1">
      <c r="D133" s="4"/>
      <c r="F133" s="78"/>
      <c r="G133" s="4"/>
    </row>
    <row r="134" spans="4:7" ht="15" hidden="1">
      <c r="D134" s="4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4:7" ht="15" hidden="1">
      <c r="D137" s="267"/>
      <c r="F137" s="78"/>
      <c r="G137" s="4"/>
    </row>
    <row r="138" spans="4:7" ht="15" hidden="1">
      <c r="D138" s="267"/>
      <c r="F138" s="78"/>
      <c r="G138" s="4"/>
    </row>
    <row r="139" spans="2:7" ht="15" hidden="1">
      <c r="B139" s="320" t="s">
        <v>180</v>
      </c>
      <c r="D139" s="4"/>
      <c r="F139" s="78"/>
      <c r="G139" s="4"/>
    </row>
    <row r="140" spans="2:26" ht="30.75" hidden="1">
      <c r="B140" s="321" t="s">
        <v>181</v>
      </c>
      <c r="C140" s="322">
        <v>13010200</v>
      </c>
      <c r="D140" s="323">
        <f>#N/A</f>
        <v>0</v>
      </c>
      <c r="E140" s="323">
        <f>#N/A</f>
        <v>0</v>
      </c>
      <c r="F140" s="323">
        <f>#N/A</f>
        <v>0</v>
      </c>
      <c r="G140" s="323">
        <f>#N/A</f>
        <v>0</v>
      </c>
      <c r="H140" s="323">
        <f>#N/A</f>
        <v>0</v>
      </c>
      <c r="I140" s="357">
        <f>#N/A</f>
        <v>0</v>
      </c>
      <c r="J140" s="323">
        <f>#N/A</f>
        <v>0</v>
      </c>
      <c r="K140" s="357">
        <f>#N/A</f>
        <v>0</v>
      </c>
      <c r="L140" s="323">
        <f>#N/A</f>
        <v>0</v>
      </c>
      <c r="M140" s="323">
        <f>#N/A</f>
        <v>0</v>
      </c>
      <c r="N140" s="323">
        <f>#N/A</f>
        <v>0</v>
      </c>
      <c r="O140" s="323">
        <f>#N/A</f>
        <v>0.49</v>
      </c>
      <c r="P140" s="323">
        <f>#N/A</f>
        <v>-0.49</v>
      </c>
      <c r="Q140" s="357">
        <f>#N/A</f>
        <v>0</v>
      </c>
      <c r="R140" s="323">
        <f>#N/A</f>
        <v>0</v>
      </c>
      <c r="S140" s="323">
        <f>#N/A</f>
        <v>0</v>
      </c>
      <c r="T140" s="357" t="e">
        <f>#N/A</f>
        <v>#DIV/0!</v>
      </c>
      <c r="U140" s="323">
        <f>#N/A</f>
        <v>0</v>
      </c>
      <c r="V140" s="323">
        <f>#N/A</f>
        <v>0</v>
      </c>
      <c r="W140" s="323">
        <f>#N/A</f>
        <v>0</v>
      </c>
      <c r="X140" s="357" t="e">
        <f>#N/A</f>
        <v>#DIV/0!</v>
      </c>
      <c r="Y140" s="446" t="e">
        <f>T140-Q140</f>
        <v>#DIV/0!</v>
      </c>
      <c r="Z140" s="163"/>
    </row>
    <row r="141" spans="2:26" ht="30.75" hidden="1">
      <c r="B141" s="329" t="s">
        <v>182</v>
      </c>
      <c r="C141" s="322">
        <v>13030200</v>
      </c>
      <c r="D141" s="323">
        <f>#N/A</f>
        <v>235.6</v>
      </c>
      <c r="E141" s="323">
        <f>#N/A</f>
        <v>235.6</v>
      </c>
      <c r="F141" s="323">
        <f>#N/A</f>
        <v>140.5</v>
      </c>
      <c r="G141" s="323">
        <f>#N/A</f>
        <v>194.24</v>
      </c>
      <c r="H141" s="323">
        <f>#N/A</f>
        <v>53.74000000000001</v>
      </c>
      <c r="I141" s="357">
        <f>#N/A</f>
        <v>1.382491103202847</v>
      </c>
      <c r="J141" s="323">
        <f>#N/A</f>
        <v>-41.359999999999985</v>
      </c>
      <c r="K141" s="357">
        <f>#N/A</f>
        <v>82.44482173174873</v>
      </c>
      <c r="L141" s="323">
        <f>#N/A</f>
        <v>0</v>
      </c>
      <c r="M141" s="323">
        <f>#N/A</f>
        <v>0</v>
      </c>
      <c r="N141" s="323">
        <f>#N/A</f>
        <v>0</v>
      </c>
      <c r="O141" s="323">
        <f>#N/A</f>
        <v>220.59</v>
      </c>
      <c r="P141" s="323">
        <f>#N/A</f>
        <v>15.009999999999991</v>
      </c>
      <c r="Q141" s="357">
        <f>#N/A</f>
        <v>1.0680447889750215</v>
      </c>
      <c r="R141" s="323">
        <f>#N/A</f>
        <v>118.46</v>
      </c>
      <c r="S141" s="323">
        <f>#N/A</f>
        <v>75.78000000000002</v>
      </c>
      <c r="T141" s="357">
        <f>#N/A</f>
        <v>1.639709606618268</v>
      </c>
      <c r="U141" s="323">
        <f>#N/A</f>
        <v>0</v>
      </c>
      <c r="V141" s="323">
        <f>#N/A</f>
        <v>0</v>
      </c>
      <c r="W141" s="323">
        <f>#N/A</f>
        <v>0</v>
      </c>
      <c r="X141" s="357" t="e">
        <f>#N/A</f>
        <v>#DIV/0!</v>
      </c>
      <c r="Y141" s="446">
        <f>#N/A</f>
        <v>0.5716648176432464</v>
      </c>
      <c r="Z141" s="163"/>
    </row>
    <row r="142" spans="2:26" ht="15" hidden="1">
      <c r="B142" s="331" t="s">
        <v>51</v>
      </c>
      <c r="C142" s="332">
        <v>21080500</v>
      </c>
      <c r="D142" s="333">
        <f>#N/A</f>
        <v>158</v>
      </c>
      <c r="E142" s="333">
        <f>#N/A</f>
        <v>158</v>
      </c>
      <c r="F142" s="333">
        <f>#N/A</f>
        <v>84</v>
      </c>
      <c r="G142" s="333">
        <f>#N/A</f>
        <v>51.82</v>
      </c>
      <c r="H142" s="333">
        <f>#N/A</f>
        <v>-32.18</v>
      </c>
      <c r="I142" s="442">
        <f>#N/A</f>
        <v>0.616904761904762</v>
      </c>
      <c r="J142" s="333">
        <f>#N/A</f>
        <v>-106.18</v>
      </c>
      <c r="K142" s="442">
        <f>#N/A</f>
        <v>0.3279746835443038</v>
      </c>
      <c r="L142" s="333">
        <f>#N/A</f>
        <v>0</v>
      </c>
      <c r="M142" s="333">
        <f>#N/A</f>
        <v>0</v>
      </c>
      <c r="N142" s="333">
        <f>#N/A</f>
        <v>0</v>
      </c>
      <c r="O142" s="333">
        <f>#N/A</f>
        <v>153.3</v>
      </c>
      <c r="P142" s="333">
        <f>#N/A</f>
        <v>4.699999999999989</v>
      </c>
      <c r="Q142" s="442">
        <f>#N/A</f>
        <v>1.030658838878017</v>
      </c>
      <c r="R142" s="333">
        <f>#N/A</f>
        <v>118.3</v>
      </c>
      <c r="S142" s="333">
        <f>#N/A</f>
        <v>-66.47999999999999</v>
      </c>
      <c r="T142" s="442">
        <f>#N/A</f>
        <v>0.43803888419273035</v>
      </c>
      <c r="U142" s="333">
        <f>#N/A</f>
        <v>14</v>
      </c>
      <c r="V142" s="333">
        <f>#N/A</f>
        <v>0</v>
      </c>
      <c r="W142" s="333">
        <f>#N/A</f>
        <v>-14</v>
      </c>
      <c r="X142" s="357">
        <f>#N/A</f>
        <v>0</v>
      </c>
      <c r="Y142" s="446">
        <f>#N/A</f>
        <v>-0.5926199546852866</v>
      </c>
      <c r="Z142" s="163"/>
    </row>
    <row r="143" spans="2:26" ht="30.75" hidden="1">
      <c r="B143" s="336" t="s">
        <v>34</v>
      </c>
      <c r="C143" s="337">
        <v>21080900</v>
      </c>
      <c r="D143" s="338">
        <f>#N/A</f>
        <v>13</v>
      </c>
      <c r="E143" s="338">
        <f>#N/A</f>
        <v>13</v>
      </c>
      <c r="F143" s="338">
        <f>#N/A</f>
        <v>8</v>
      </c>
      <c r="G143" s="338">
        <f>#N/A</f>
        <v>5.04</v>
      </c>
      <c r="H143" s="338">
        <f>#N/A</f>
        <v>-2.96</v>
      </c>
      <c r="I143" s="443">
        <f>#N/A</f>
        <v>0.63</v>
      </c>
      <c r="J143" s="338">
        <f>#N/A</f>
        <v>-7.96</v>
      </c>
      <c r="K143" s="443">
        <f>#N/A</f>
        <v>0.38769230769230767</v>
      </c>
      <c r="L143" s="338">
        <f>#N/A</f>
        <v>0</v>
      </c>
      <c r="M143" s="338">
        <f>#N/A</f>
        <v>0</v>
      </c>
      <c r="N143" s="338">
        <f>#N/A</f>
        <v>0</v>
      </c>
      <c r="O143" s="338">
        <f>#N/A</f>
        <v>12.95</v>
      </c>
      <c r="P143" s="338">
        <f>#N/A</f>
        <v>0.05000000000000071</v>
      </c>
      <c r="Q143" s="443">
        <f>#N/A</f>
        <v>1.0038610038610039</v>
      </c>
      <c r="R143" s="338">
        <f>#N/A</f>
        <v>10.79</v>
      </c>
      <c r="S143" s="338">
        <f>#N/A</f>
        <v>-5.749999999999999</v>
      </c>
      <c r="T143" s="443">
        <f>#N/A</f>
        <v>0</v>
      </c>
      <c r="U143" s="338">
        <f>#N/A</f>
        <v>1</v>
      </c>
      <c r="V143" s="338">
        <f>#N/A</f>
        <v>2.94</v>
      </c>
      <c r="W143" s="338">
        <f>#N/A</f>
        <v>1.94</v>
      </c>
      <c r="X143" s="445">
        <f>#N/A</f>
        <v>2.94</v>
      </c>
      <c r="Y143" s="446">
        <f>#N/A</f>
        <v>-1.0038610038610039</v>
      </c>
      <c r="Z143" s="163"/>
    </row>
    <row r="144" spans="2:26" ht="15" hidden="1">
      <c r="B144" s="329" t="s">
        <v>16</v>
      </c>
      <c r="C144" s="322">
        <v>21081100</v>
      </c>
      <c r="D144" s="323">
        <f>#N/A</f>
        <v>744</v>
      </c>
      <c r="E144" s="323">
        <f>#N/A</f>
        <v>744</v>
      </c>
      <c r="F144" s="323">
        <f>#N/A</f>
        <v>390</v>
      </c>
      <c r="G144" s="323">
        <f>#N/A</f>
        <v>702.59</v>
      </c>
      <c r="H144" s="323">
        <f>#N/A</f>
        <v>312.59000000000003</v>
      </c>
      <c r="I144" s="357">
        <f>#N/A</f>
        <v>1.8015128205128206</v>
      </c>
      <c r="J144" s="323">
        <f>#N/A</f>
        <v>-41.40999999999997</v>
      </c>
      <c r="K144" s="357">
        <f>#N/A</f>
        <v>0.9443413978494624</v>
      </c>
      <c r="L144" s="323">
        <f>#N/A</f>
        <v>0</v>
      </c>
      <c r="M144" s="323">
        <f>#N/A</f>
        <v>0</v>
      </c>
      <c r="N144" s="323">
        <f>#N/A</f>
        <v>0</v>
      </c>
      <c r="O144" s="323">
        <f>#N/A</f>
        <v>705.31</v>
      </c>
      <c r="P144" s="323">
        <f>#N/A</f>
        <v>38.690000000000055</v>
      </c>
      <c r="Q144" s="357">
        <f>#N/A</f>
        <v>1.0548553118486907</v>
      </c>
      <c r="R144" s="323">
        <f>#N/A</f>
        <v>545.59</v>
      </c>
      <c r="S144" s="323">
        <f>#N/A</f>
        <v>157</v>
      </c>
      <c r="T144" s="357">
        <f>#N/A</f>
        <v>1.287761872468337</v>
      </c>
      <c r="U144" s="323">
        <f>#N/A</f>
        <v>61.56999999999999</v>
      </c>
      <c r="V144" s="323">
        <f>#N/A</f>
        <v>59.09000000000003</v>
      </c>
      <c r="W144" s="323">
        <f>#N/A</f>
        <v>-2.4799999999999613</v>
      </c>
      <c r="X144" s="357">
        <f>#N/A</f>
        <v>0.9597206431703758</v>
      </c>
      <c r="Y144" s="446">
        <f>#N/A</f>
        <v>0.23290656061964632</v>
      </c>
      <c r="Z144" s="163"/>
    </row>
    <row r="145" spans="2:26" ht="46.5" hidden="1">
      <c r="B145" s="329" t="s">
        <v>67</v>
      </c>
      <c r="C145" s="322">
        <v>21081500</v>
      </c>
      <c r="D145" s="323">
        <f>#N/A</f>
        <v>115.5</v>
      </c>
      <c r="E145" s="323">
        <f>#N/A</f>
        <v>115.5</v>
      </c>
      <c r="F145" s="323">
        <f>#N/A</f>
        <v>60</v>
      </c>
      <c r="G145" s="323">
        <f>#N/A</f>
        <v>117.04</v>
      </c>
      <c r="H145" s="323">
        <f>#N/A</f>
        <v>57.040000000000006</v>
      </c>
      <c r="I145" s="357">
        <f>#N/A</f>
        <v>1.9506666666666668</v>
      </c>
      <c r="J145" s="323">
        <f>#N/A</f>
        <v>1.5400000000000063</v>
      </c>
      <c r="K145" s="357">
        <f>#N/A</f>
        <v>1.0133333333333334</v>
      </c>
      <c r="L145" s="323">
        <f>#N/A</f>
        <v>0</v>
      </c>
      <c r="M145" s="323">
        <f>#N/A</f>
        <v>0</v>
      </c>
      <c r="N145" s="323">
        <f>#N/A</f>
        <v>0</v>
      </c>
      <c r="O145" s="323">
        <f>#N/A</f>
        <v>114.3</v>
      </c>
      <c r="P145" s="323">
        <f>#N/A</f>
        <v>1.2000000000000028</v>
      </c>
      <c r="Q145" s="357">
        <f>#N/A</f>
        <v>1.010498687664042</v>
      </c>
      <c r="R145" s="323">
        <f>#N/A</f>
        <v>71.03</v>
      </c>
      <c r="S145" s="323">
        <f>#N/A</f>
        <v>46.010000000000005</v>
      </c>
      <c r="T145" s="357">
        <f>#N/A</f>
        <v>1.647754469942278</v>
      </c>
      <c r="U145" s="323">
        <f>#N/A</f>
        <v>10</v>
      </c>
      <c r="V145" s="323">
        <f>#N/A</f>
        <v>0.04000000000000625</v>
      </c>
      <c r="W145" s="323">
        <f>#N/A</f>
        <v>-9.959999999999994</v>
      </c>
      <c r="X145" s="357">
        <f>#N/A</f>
        <v>0.0040000000000006255</v>
      </c>
      <c r="Y145" s="446">
        <f>#N/A</f>
        <v>0.6372557822782359</v>
      </c>
      <c r="Z145" s="163"/>
    </row>
    <row r="146" spans="2:26" ht="46.5" hidden="1">
      <c r="B146" s="329" t="s">
        <v>17</v>
      </c>
      <c r="C146" s="322" t="s">
        <v>18</v>
      </c>
      <c r="D146" s="323">
        <f>D71</f>
        <v>3</v>
      </c>
      <c r="E146" s="323">
        <f>#N/A</f>
        <v>3</v>
      </c>
      <c r="F146" s="323">
        <f>#N/A</f>
        <v>1.5</v>
      </c>
      <c r="G146" s="323">
        <f>#N/A</f>
        <v>0.15</v>
      </c>
      <c r="H146" s="323">
        <f>#N/A</f>
        <v>-1.35</v>
      </c>
      <c r="I146" s="357">
        <f>#N/A</f>
        <v>0.09999999999999999</v>
      </c>
      <c r="J146" s="323">
        <f>#N/A</f>
        <v>-2.85</v>
      </c>
      <c r="K146" s="357">
        <f>#N/A</f>
        <v>0.049999999999999996</v>
      </c>
      <c r="L146" s="323">
        <f>#N/A</f>
        <v>0</v>
      </c>
      <c r="M146" s="323">
        <f>#N/A</f>
        <v>0</v>
      </c>
      <c r="N146" s="323">
        <f>#N/A</f>
        <v>0</v>
      </c>
      <c r="O146" s="323">
        <f>#N/A</f>
        <v>2.04</v>
      </c>
      <c r="P146" s="323">
        <f>#N/A</f>
        <v>0.96</v>
      </c>
      <c r="Q146" s="357">
        <f>#N/A</f>
        <v>1.4705882352941175</v>
      </c>
      <c r="R146" s="323">
        <f>#N/A</f>
        <v>2.04</v>
      </c>
      <c r="S146" s="323">
        <f>#N/A</f>
        <v>-1.8900000000000001</v>
      </c>
      <c r="T146" s="357">
        <f>#N/A</f>
        <v>0.07352941176470588</v>
      </c>
      <c r="U146" s="323">
        <f>#N/A</f>
        <v>0</v>
      </c>
      <c r="V146" s="323">
        <f>#N/A</f>
        <v>0.15</v>
      </c>
      <c r="W146" s="323">
        <f>#N/A</f>
        <v>0.15</v>
      </c>
      <c r="X146" s="357">
        <f>#N/A</f>
        <v>0</v>
      </c>
      <c r="Y146" s="446">
        <f>#N/A</f>
        <v>-1.3970588235294117</v>
      </c>
      <c r="Z146" s="163"/>
    </row>
    <row r="147" spans="2:26" ht="30.75" hidden="1">
      <c r="B147" s="344" t="s">
        <v>39</v>
      </c>
      <c r="C147" s="322">
        <v>31010200</v>
      </c>
      <c r="D147" s="345">
        <f>#N/A</f>
        <v>35</v>
      </c>
      <c r="E147" s="345">
        <f>#N/A</f>
        <v>35</v>
      </c>
      <c r="F147" s="345">
        <f>#N/A</f>
        <v>21.17</v>
      </c>
      <c r="G147" s="345">
        <f>#N/A</f>
        <v>7.94</v>
      </c>
      <c r="H147" s="345">
        <f>#N/A</f>
        <v>-13.23</v>
      </c>
      <c r="I147" s="444">
        <f>#N/A</f>
        <v>0.37505904581955596</v>
      </c>
      <c r="J147" s="345">
        <f>#N/A</f>
        <v>-27.06</v>
      </c>
      <c r="K147" s="444">
        <f>#N/A</f>
        <v>0.22685714285714287</v>
      </c>
      <c r="L147" s="345">
        <f>#N/A</f>
        <v>0</v>
      </c>
      <c r="M147" s="345">
        <f>#N/A</f>
        <v>0</v>
      </c>
      <c r="N147" s="345">
        <f>#N/A</f>
        <v>0</v>
      </c>
      <c r="O147" s="345">
        <f>#N/A</f>
        <v>34.22</v>
      </c>
      <c r="P147" s="345">
        <f>#N/A</f>
        <v>0.7800000000000011</v>
      </c>
      <c r="Q147" s="444">
        <f>#N/A</f>
        <v>1.0227936879018118</v>
      </c>
      <c r="R147" s="345">
        <f>#N/A</f>
        <v>28.54</v>
      </c>
      <c r="S147" s="345">
        <f>#N/A</f>
        <v>-20.599999999999998</v>
      </c>
      <c r="T147" s="444">
        <f>#N/A</f>
        <v>0.2782060266292922</v>
      </c>
      <c r="U147" s="345">
        <f>#N/A</f>
        <v>2.900000000000002</v>
      </c>
      <c r="V147" s="345">
        <f>#N/A</f>
        <v>0.22000000000000064</v>
      </c>
      <c r="W147" s="345">
        <f>#N/A</f>
        <v>-2.6800000000000015</v>
      </c>
      <c r="X147" s="444">
        <f>#N/A</f>
        <v>0.0758620689655174</v>
      </c>
      <c r="Y147" s="446">
        <f>#N/A</f>
        <v>-0.7445876612725195</v>
      </c>
      <c r="Z147" s="163"/>
    </row>
    <row r="148" spans="2:26" ht="30.75" hidden="1">
      <c r="B148" s="344" t="s">
        <v>49</v>
      </c>
      <c r="C148" s="322">
        <v>31020000</v>
      </c>
      <c r="D148" s="345">
        <f>#N/A</f>
        <v>0</v>
      </c>
      <c r="E148" s="345">
        <f>#N/A</f>
        <v>0</v>
      </c>
      <c r="F148" s="345">
        <f>#N/A</f>
        <v>0</v>
      </c>
      <c r="G148" s="345">
        <f>#N/A</f>
        <v>0.68</v>
      </c>
      <c r="H148" s="345">
        <f>#N/A</f>
        <v>0.68</v>
      </c>
      <c r="I148" s="444" t="e">
        <f>#N/A</f>
        <v>#DIV/0!</v>
      </c>
      <c r="J148" s="345">
        <f>#N/A</f>
        <v>0.68</v>
      </c>
      <c r="K148" s="444">
        <f>#N/A</f>
        <v>0</v>
      </c>
      <c r="L148" s="345">
        <f>#N/A</f>
        <v>0</v>
      </c>
      <c r="M148" s="345">
        <f>#N/A</f>
        <v>0</v>
      </c>
      <c r="N148" s="345">
        <f>#N/A</f>
        <v>0</v>
      </c>
      <c r="O148" s="345">
        <f>#N/A</f>
        <v>-4.86</v>
      </c>
      <c r="P148" s="345">
        <f>#N/A</f>
        <v>4.86</v>
      </c>
      <c r="Q148" s="444">
        <f>#N/A</f>
        <v>0</v>
      </c>
      <c r="R148" s="345">
        <f>#N/A</f>
        <v>-5.25</v>
      </c>
      <c r="S148" s="345">
        <f>#N/A</f>
        <v>5.93</v>
      </c>
      <c r="T148" s="444">
        <f>#N/A</f>
        <v>-0.12952380952380954</v>
      </c>
      <c r="U148" s="345">
        <f>#N/A</f>
        <v>0</v>
      </c>
      <c r="V148" s="345">
        <f>#N/A</f>
        <v>0</v>
      </c>
      <c r="W148" s="345">
        <f>#N/A</f>
        <v>0</v>
      </c>
      <c r="X148" s="444">
        <f>#N/A</f>
        <v>0</v>
      </c>
      <c r="Y148" s="446">
        <f>#N/A</f>
        <v>-0.12952380952380954</v>
      </c>
      <c r="Z148" s="163"/>
    </row>
    <row r="149" spans="4:26" ht="15" hidden="1">
      <c r="D149" s="351">
        <f>SUM(D140:D148)</f>
        <v>1304.1</v>
      </c>
      <c r="E149" s="351">
        <f>SUM(E140:E148)</f>
        <v>1304.1</v>
      </c>
      <c r="F149" s="351">
        <f>SUM(F140:F148)</f>
        <v>705.17</v>
      </c>
      <c r="G149" s="351">
        <f>SUM(G140:G148)</f>
        <v>1079.5000000000002</v>
      </c>
      <c r="H149" s="351">
        <f>SUM(H140:H148)</f>
        <v>374.33000000000004</v>
      </c>
      <c r="I149" s="189">
        <f>G149/F149</f>
        <v>1.5308365358707834</v>
      </c>
      <c r="J149" s="351">
        <f>G149-E149</f>
        <v>-224.59999999999968</v>
      </c>
      <c r="K149" s="441">
        <f>G149/E149</f>
        <v>0.8277739437159729</v>
      </c>
      <c r="O149" s="351">
        <f>SUM(O140:O148)</f>
        <v>1238.34</v>
      </c>
      <c r="P149" s="351">
        <f>SUM(P140:P148)</f>
        <v>65.76000000000005</v>
      </c>
      <c r="Q149" s="189">
        <f>E149/O149</f>
        <v>1.053103348030428</v>
      </c>
      <c r="R149" s="351">
        <f>SUM(R140:R148)</f>
        <v>889.4999999999999</v>
      </c>
      <c r="S149" s="351">
        <f>SUM(S140:S148)</f>
        <v>190.00000000000009</v>
      </c>
      <c r="T149" s="189">
        <f>G149/R149</f>
        <v>1.2136031478358633</v>
      </c>
      <c r="U149" s="351">
        <f>SUM(U140:U148)</f>
        <v>89.47</v>
      </c>
      <c r="V149" s="351">
        <f>SUM(V140:V148)</f>
        <v>62.44000000000003</v>
      </c>
      <c r="W149" s="351">
        <f>SUM(W140:W148)</f>
        <v>-27.02999999999996</v>
      </c>
      <c r="X149" s="189">
        <f>V149/U149</f>
        <v>0.6978875600760035</v>
      </c>
      <c r="Y149" s="189">
        <f>#N/A</f>
        <v>0.16049979980543538</v>
      </c>
      <c r="Z149" s="163"/>
    </row>
    <row r="150" spans="4:25" ht="15" hidden="1">
      <c r="D150" s="4"/>
      <c r="F150" s="78"/>
      <c r="G150" s="4"/>
      <c r="Y150" s="189"/>
    </row>
    <row r="151" spans="2:25" ht="15" hidden="1">
      <c r="B151" s="354" t="s">
        <v>183</v>
      </c>
      <c r="D151" s="4"/>
      <c r="F151" s="78"/>
      <c r="G151" s="4"/>
      <c r="Y151" s="189"/>
    </row>
    <row r="152" spans="2:25" ht="30.75" hidden="1">
      <c r="B152" s="355" t="s">
        <v>89</v>
      </c>
      <c r="C152" s="356">
        <v>22010300</v>
      </c>
      <c r="D152" s="323">
        <f>#N/A</f>
        <v>1284</v>
      </c>
      <c r="E152" s="323">
        <f>#N/A</f>
        <v>1284</v>
      </c>
      <c r="F152" s="323">
        <f>#N/A</f>
        <v>734</v>
      </c>
      <c r="G152" s="323">
        <f>#N/A</f>
        <v>690.35</v>
      </c>
      <c r="H152" s="323">
        <f>#N/A</f>
        <v>-43.64999999999998</v>
      </c>
      <c r="I152" s="357">
        <f>#N/A</f>
        <v>0.9405313351498638</v>
      </c>
      <c r="J152" s="323">
        <f>#N/A</f>
        <v>-593.65</v>
      </c>
      <c r="K152" s="357">
        <f>#N/A</f>
        <v>0.5376557632398754</v>
      </c>
      <c r="L152" s="323">
        <f>#N/A</f>
        <v>0</v>
      </c>
      <c r="M152" s="323">
        <f>#N/A</f>
        <v>0</v>
      </c>
      <c r="N152" s="323">
        <f>#N/A</f>
        <v>0</v>
      </c>
      <c r="O152" s="323">
        <f>#N/A</f>
        <v>1205.14</v>
      </c>
      <c r="P152" s="323">
        <f>#N/A</f>
        <v>78.8599999999999</v>
      </c>
      <c r="Q152" s="357">
        <f>#N/A</f>
        <v>1.0654363808354215</v>
      </c>
      <c r="R152" s="323">
        <f>#N/A</f>
        <v>714.6</v>
      </c>
      <c r="S152" s="323">
        <f>#N/A</f>
        <v>-24.25</v>
      </c>
      <c r="T152" s="357">
        <f>#N/A</f>
        <v>0.9660649314301707</v>
      </c>
      <c r="U152" s="323">
        <f>#N/A</f>
        <v>120</v>
      </c>
      <c r="V152" s="323">
        <f>#N/A</f>
        <v>122.02999999999997</v>
      </c>
      <c r="W152" s="323">
        <f>#N/A</f>
        <v>2.0299999999999727</v>
      </c>
      <c r="X152" s="357">
        <f>#N/A</f>
        <v>1.0169166666666665</v>
      </c>
      <c r="Y152" s="446">
        <f>#N/A</f>
        <v>-0.09937144940525078</v>
      </c>
    </row>
    <row r="153" spans="2:25" ht="15" hidden="1">
      <c r="B153" s="355" t="s">
        <v>106</v>
      </c>
      <c r="C153" s="356">
        <v>22010200</v>
      </c>
      <c r="D153" s="323">
        <f>#N/A</f>
        <v>0</v>
      </c>
      <c r="E153" s="323">
        <f>#N/A</f>
        <v>0</v>
      </c>
      <c r="F153" s="323">
        <f>#N/A</f>
        <v>0</v>
      </c>
      <c r="G153" s="323">
        <f>#N/A</f>
        <v>0</v>
      </c>
      <c r="H153" s="323">
        <f>#N/A</f>
        <v>0</v>
      </c>
      <c r="I153" s="357" t="e">
        <f>#N/A</f>
        <v>#DIV/0!</v>
      </c>
      <c r="J153" s="323">
        <f>#N/A</f>
        <v>0</v>
      </c>
      <c r="K153" s="357" t="e">
        <f>#N/A</f>
        <v>#DIV/0!</v>
      </c>
      <c r="L153" s="323">
        <f>#N/A</f>
        <v>0</v>
      </c>
      <c r="M153" s="323">
        <f>#N/A</f>
        <v>0</v>
      </c>
      <c r="N153" s="323">
        <f>#N/A</f>
        <v>0</v>
      </c>
      <c r="O153" s="323">
        <f>#N/A</f>
        <v>23.38</v>
      </c>
      <c r="P153" s="323">
        <f>#N/A</f>
        <v>-23.38</v>
      </c>
      <c r="Q153" s="357">
        <f>#N/A</f>
        <v>0</v>
      </c>
      <c r="R153" s="323">
        <f>#N/A</f>
        <v>0</v>
      </c>
      <c r="S153" s="323">
        <f>#N/A</f>
        <v>0</v>
      </c>
      <c r="T153" s="357">
        <f>#N/A</f>
        <v>0</v>
      </c>
      <c r="U153" s="323">
        <f>#N/A</f>
        <v>0</v>
      </c>
      <c r="V153" s="323">
        <f>#N/A</f>
        <v>0</v>
      </c>
      <c r="W153" s="323">
        <f>#N/A</f>
        <v>0</v>
      </c>
      <c r="X153" s="357" t="e">
        <f>#N/A</f>
        <v>#DIV/0!</v>
      </c>
      <c r="Y153" s="446">
        <f>#N/A</f>
        <v>0</v>
      </c>
    </row>
    <row r="154" spans="2:25" ht="15" hidden="1">
      <c r="B154" s="358" t="s">
        <v>65</v>
      </c>
      <c r="C154" s="359">
        <v>22012500</v>
      </c>
      <c r="D154" s="360">
        <f>#N/A</f>
        <v>21260</v>
      </c>
      <c r="E154" s="360">
        <f>#N/A</f>
        <v>22260</v>
      </c>
      <c r="F154" s="360">
        <f>#N/A</f>
        <v>13890</v>
      </c>
      <c r="G154" s="360">
        <f>#N/A</f>
        <v>13712.96</v>
      </c>
      <c r="H154" s="360">
        <f>#N/A</f>
        <v>-177.04000000000087</v>
      </c>
      <c r="I154" s="362">
        <f>#N/A</f>
        <v>0.9872541396688265</v>
      </c>
      <c r="J154" s="360">
        <f>#N/A</f>
        <v>-8547.04</v>
      </c>
      <c r="K154" s="362">
        <f>#N/A</f>
        <v>0.6160359389038634</v>
      </c>
      <c r="L154" s="360">
        <f>#N/A</f>
        <v>0</v>
      </c>
      <c r="M154" s="360">
        <f>#N/A</f>
        <v>0</v>
      </c>
      <c r="N154" s="360">
        <f>#N/A</f>
        <v>0</v>
      </c>
      <c r="O154" s="360">
        <f>#N/A</f>
        <v>20110.14</v>
      </c>
      <c r="P154" s="360">
        <f>#N/A</f>
        <v>2149.8600000000006</v>
      </c>
      <c r="Q154" s="362">
        <f>#N/A</f>
        <v>1.1069042781402816</v>
      </c>
      <c r="R154" s="360">
        <f>#N/A</f>
        <v>10783.99</v>
      </c>
      <c r="S154" s="360">
        <f>#N/A</f>
        <v>2928.9699999999993</v>
      </c>
      <c r="T154" s="362">
        <f>#N/A</f>
        <v>1.2716035530448377</v>
      </c>
      <c r="U154" s="360">
        <f>#N/A</f>
        <v>1800</v>
      </c>
      <c r="V154" s="360">
        <f>#N/A</f>
        <v>1404.4699999999993</v>
      </c>
      <c r="W154" s="360">
        <f>#N/A</f>
        <v>-395.53000000000065</v>
      </c>
      <c r="X154" s="362">
        <f>#N/A</f>
        <v>0.7802611111111107</v>
      </c>
      <c r="Y154" s="446">
        <f>#N/A</f>
        <v>0.16469927490455616</v>
      </c>
    </row>
    <row r="155" spans="2:25" ht="30.75" hidden="1">
      <c r="B155" s="358" t="s">
        <v>86</v>
      </c>
      <c r="C155" s="359">
        <v>22012600</v>
      </c>
      <c r="D155" s="360">
        <f>#N/A</f>
        <v>767</v>
      </c>
      <c r="E155" s="360">
        <f>#N/A</f>
        <v>767</v>
      </c>
      <c r="F155" s="360">
        <f>#N/A</f>
        <v>442.3</v>
      </c>
      <c r="G155" s="360">
        <f>#N/A</f>
        <v>504.51</v>
      </c>
      <c r="H155" s="360">
        <f>#N/A</f>
        <v>62.20999999999998</v>
      </c>
      <c r="I155" s="362">
        <f>#N/A</f>
        <v>1.140651141758987</v>
      </c>
      <c r="J155" s="360">
        <f>#N/A</f>
        <v>-262.49</v>
      </c>
      <c r="K155" s="362">
        <f>#N/A</f>
        <v>0.6577705345501955</v>
      </c>
      <c r="L155" s="360">
        <f>#N/A</f>
        <v>0</v>
      </c>
      <c r="M155" s="360">
        <f>#N/A</f>
        <v>0</v>
      </c>
      <c r="N155" s="360">
        <f>#N/A</f>
        <v>0</v>
      </c>
      <c r="O155" s="360">
        <f>#N/A</f>
        <v>710.04</v>
      </c>
      <c r="P155" s="360">
        <f>#N/A</f>
        <v>56.960000000000036</v>
      </c>
      <c r="Q155" s="362">
        <f>#N/A</f>
        <v>1.0802208326291478</v>
      </c>
      <c r="R155" s="360">
        <f>#N/A</f>
        <v>306.17</v>
      </c>
      <c r="S155" s="360">
        <f>#N/A</f>
        <v>198.33999999999997</v>
      </c>
      <c r="T155" s="362">
        <f>#N/A</f>
        <v>1.6478100401737596</v>
      </c>
      <c r="U155" s="360">
        <f>#N/A</f>
        <v>65.30000000000001</v>
      </c>
      <c r="V155" s="360">
        <f>#N/A</f>
        <v>102.57</v>
      </c>
      <c r="W155" s="360">
        <f>#N/A</f>
        <v>37.26999999999998</v>
      </c>
      <c r="X155" s="362">
        <f>#N/A</f>
        <v>1.5707503828483917</v>
      </c>
      <c r="Y155" s="446">
        <f>#N/A</f>
        <v>0.5675892075446118</v>
      </c>
    </row>
    <row r="156" spans="2:25" ht="30.75" hidden="1">
      <c r="B156" s="358" t="s">
        <v>90</v>
      </c>
      <c r="C156" s="359">
        <v>22012900</v>
      </c>
      <c r="D156" s="360">
        <f>#N/A</f>
        <v>44</v>
      </c>
      <c r="E156" s="360">
        <f>#N/A</f>
        <v>44</v>
      </c>
      <c r="F156" s="360">
        <f>#N/A</f>
        <v>24</v>
      </c>
      <c r="G156" s="360">
        <f>#N/A</f>
        <v>13.23</v>
      </c>
      <c r="H156" s="360">
        <f>#N/A</f>
        <v>-10.77</v>
      </c>
      <c r="I156" s="362">
        <f>#N/A</f>
        <v>0.55125</v>
      </c>
      <c r="J156" s="360">
        <f>#N/A</f>
        <v>-30.77</v>
      </c>
      <c r="K156" s="362">
        <f>#N/A</f>
        <v>0.3006818181818182</v>
      </c>
      <c r="L156" s="360">
        <f>#N/A</f>
        <v>0</v>
      </c>
      <c r="M156" s="360">
        <f>#N/A</f>
        <v>0</v>
      </c>
      <c r="N156" s="360">
        <f>#N/A</f>
        <v>0</v>
      </c>
      <c r="O156" s="360">
        <f>#N/A</f>
        <v>41.44</v>
      </c>
      <c r="P156" s="360">
        <f>#N/A</f>
        <v>2.5600000000000023</v>
      </c>
      <c r="Q156" s="362">
        <f>#N/A</f>
        <v>1.0617760617760619</v>
      </c>
      <c r="R156" s="360">
        <f>#N/A</f>
        <v>25.92</v>
      </c>
      <c r="S156" s="360">
        <f>#N/A</f>
        <v>-12.690000000000001</v>
      </c>
      <c r="T156" s="362">
        <f>#N/A</f>
        <v>0.5104166666666666</v>
      </c>
      <c r="U156" s="360">
        <f>#N/A</f>
        <v>4</v>
      </c>
      <c r="V156" s="360">
        <f>#N/A</f>
        <v>0</v>
      </c>
      <c r="W156" s="360">
        <f>#N/A</f>
        <v>-4</v>
      </c>
      <c r="X156" s="362">
        <f>#N/A</f>
        <v>0</v>
      </c>
      <c r="Y156" s="446">
        <f>#N/A</f>
        <v>-0.5513593951093952</v>
      </c>
    </row>
    <row r="157" spans="2:25" ht="15" hidden="1">
      <c r="B157" s="354" t="s">
        <v>183</v>
      </c>
      <c r="C157" s="365">
        <v>22010000</v>
      </c>
      <c r="D157" s="351">
        <f>SUM(D152:D156)</f>
        <v>23355</v>
      </c>
      <c r="E157" s="351">
        <f>#N/A</f>
        <v>24355</v>
      </c>
      <c r="F157" s="351">
        <f>#N/A</f>
        <v>15090.3</v>
      </c>
      <c r="G157" s="351">
        <f>#N/A</f>
        <v>14921.05</v>
      </c>
      <c r="H157" s="351">
        <f>#N/A</f>
        <v>-169.25000000000088</v>
      </c>
      <c r="I157" s="189">
        <f>G157/F157</f>
        <v>0.9887841858677429</v>
      </c>
      <c r="J157" s="351">
        <f>#N/A</f>
        <v>-9433.95</v>
      </c>
      <c r="K157" s="189">
        <f>G157/E157</f>
        <v>0.6126483268322725</v>
      </c>
      <c r="L157" s="351">
        <f>#N/A</f>
        <v>0</v>
      </c>
      <c r="M157" s="351">
        <f>#N/A</f>
        <v>0</v>
      </c>
      <c r="N157" s="351">
        <f>#N/A</f>
        <v>0</v>
      </c>
      <c r="O157" s="351">
        <f>#N/A</f>
        <v>22090.14</v>
      </c>
      <c r="P157" s="351">
        <f>#N/A</f>
        <v>2264.8600000000006</v>
      </c>
      <c r="Q157" s="189">
        <f>E157/O157</f>
        <v>1.1025280962456554</v>
      </c>
      <c r="R157" s="351">
        <f>#N/A</f>
        <v>11830.68</v>
      </c>
      <c r="S157" s="351">
        <f>#N/A</f>
        <v>3090.3699999999994</v>
      </c>
      <c r="T157" s="189">
        <f>G157/R157</f>
        <v>1.2612165995530265</v>
      </c>
      <c r="U157" s="351">
        <f>#N/A</f>
        <v>1989.3</v>
      </c>
      <c r="V157" s="351">
        <f>#N/A</f>
        <v>1629.0699999999993</v>
      </c>
      <c r="W157" s="351">
        <f>#N/A</f>
        <v>-360.2300000000007</v>
      </c>
      <c r="X157" s="189">
        <f>V157/U157</f>
        <v>0.8189162016789822</v>
      </c>
      <c r="Y157" s="189">
        <f>#N/A</f>
        <v>0.15868850330737105</v>
      </c>
    </row>
    <row r="158" spans="4:25" ht="15" hidden="1">
      <c r="D158" s="4"/>
      <c r="F158" s="78"/>
      <c r="G158" s="4"/>
      <c r="Y158" s="189"/>
    </row>
    <row r="159" spans="4:25" ht="15" hidden="1">
      <c r="D159" s="4"/>
      <c r="F159" s="78"/>
      <c r="G159" s="4"/>
      <c r="Y159" s="189"/>
    </row>
    <row r="160" spans="2:25" ht="15" hidden="1">
      <c r="B160" s="354" t="s">
        <v>184</v>
      </c>
      <c r="D160" s="4"/>
      <c r="F160" s="78"/>
      <c r="G160" s="4"/>
      <c r="Y160" s="189"/>
    </row>
    <row r="161" spans="2:25" ht="15" hidden="1">
      <c r="B161" s="366" t="s">
        <v>13</v>
      </c>
      <c r="C161" s="322" t="s">
        <v>19</v>
      </c>
      <c r="D161" s="348">
        <f>D72</f>
        <v>8170</v>
      </c>
      <c r="E161" s="348">
        <f>#N/A</f>
        <v>8170</v>
      </c>
      <c r="F161" s="348">
        <f>#N/A</f>
        <v>4648.65</v>
      </c>
      <c r="G161" s="348">
        <f>#N/A</f>
        <v>3823.97</v>
      </c>
      <c r="H161" s="348">
        <f>#N/A</f>
        <v>-824.6799999999998</v>
      </c>
      <c r="I161" s="347">
        <f>#N/A</f>
        <v>0.822597958547105</v>
      </c>
      <c r="J161" s="348">
        <f>#N/A</f>
        <v>-4346.030000000001</v>
      </c>
      <c r="K161" s="347">
        <f>#N/A</f>
        <v>0.4680501835985312</v>
      </c>
      <c r="L161" s="348">
        <f>#N/A</f>
        <v>0</v>
      </c>
      <c r="M161" s="348">
        <f>#N/A</f>
        <v>0</v>
      </c>
      <c r="N161" s="348">
        <f>#N/A</f>
        <v>0</v>
      </c>
      <c r="O161" s="348">
        <f>#N/A</f>
        <v>8086.92</v>
      </c>
      <c r="P161" s="348">
        <f>#N/A</f>
        <v>83.07999999999993</v>
      </c>
      <c r="Q161" s="347">
        <f>#N/A</f>
        <v>1.0102733797292418</v>
      </c>
      <c r="R161" s="348">
        <f>#N/A</f>
        <v>5438.15</v>
      </c>
      <c r="S161" s="348">
        <f>#N/A</f>
        <v>-1614.1799999999998</v>
      </c>
      <c r="T161" s="347">
        <f>#N/A</f>
        <v>0.7031747928983202</v>
      </c>
      <c r="U161" s="348">
        <f>#N/A</f>
        <v>679.9999999999995</v>
      </c>
      <c r="V161" s="348">
        <f>#N/A</f>
        <v>506.6699999999996</v>
      </c>
      <c r="W161" s="348">
        <f>#N/A</f>
        <v>-173.32999999999993</v>
      </c>
      <c r="X161" s="347">
        <f>#N/A</f>
        <v>0.7451029411764706</v>
      </c>
      <c r="Y161" s="189">
        <f>#N/A</f>
        <v>-0.3070985868309216</v>
      </c>
    </row>
    <row r="162" spans="2:25" ht="46.5" hidden="1">
      <c r="B162" s="366" t="s">
        <v>38</v>
      </c>
      <c r="C162" s="322">
        <v>24061900</v>
      </c>
      <c r="D162" s="348">
        <f>D76</f>
        <v>174.4</v>
      </c>
      <c r="E162" s="348">
        <f>#N/A</f>
        <v>174.4</v>
      </c>
      <c r="F162" s="348">
        <f>#N/A</f>
        <v>30</v>
      </c>
      <c r="G162" s="348">
        <f>#N/A</f>
        <v>0</v>
      </c>
      <c r="H162" s="348">
        <f>#N/A</f>
        <v>-30</v>
      </c>
      <c r="I162" s="347">
        <f>#N/A</f>
        <v>0</v>
      </c>
      <c r="J162" s="348">
        <f>#N/A</f>
        <v>-174.4</v>
      </c>
      <c r="K162" s="347">
        <f>#N/A</f>
        <v>0</v>
      </c>
      <c r="L162" s="348">
        <f>#N/A</f>
        <v>0</v>
      </c>
      <c r="M162" s="348">
        <f>#N/A</f>
        <v>0</v>
      </c>
      <c r="N162" s="348">
        <f>#N/A</f>
        <v>0</v>
      </c>
      <c r="O162" s="348">
        <f>#N/A</f>
        <v>142.18</v>
      </c>
      <c r="P162" s="348">
        <f>#N/A</f>
        <v>32.22</v>
      </c>
      <c r="Q162" s="347">
        <f>#N/A</f>
        <v>1.2266141510761006</v>
      </c>
      <c r="R162" s="348">
        <f>#N/A</f>
        <v>60.14</v>
      </c>
      <c r="S162" s="348">
        <f>#N/A</f>
        <v>-60.14</v>
      </c>
      <c r="T162" s="347">
        <f>#N/A</f>
        <v>0</v>
      </c>
      <c r="U162" s="348">
        <f>#N/A</f>
        <v>10</v>
      </c>
      <c r="V162" s="348">
        <f>#N/A</f>
        <v>0</v>
      </c>
      <c r="W162" s="348">
        <f>#N/A</f>
        <v>-10</v>
      </c>
      <c r="X162" s="347">
        <f>#N/A</f>
        <v>0</v>
      </c>
      <c r="Y162" s="189">
        <f>#N/A</f>
        <v>-1.2266141510761006</v>
      </c>
    </row>
    <row r="163" spans="2:25" ht="15" hidden="1">
      <c r="B163" s="354" t="s">
        <v>184</v>
      </c>
      <c r="C163" s="370">
        <v>24060000</v>
      </c>
      <c r="D163" s="351">
        <f>SUM(D161:D162)</f>
        <v>8344.4</v>
      </c>
      <c r="E163" s="351">
        <f>#N/A</f>
        <v>8344.4</v>
      </c>
      <c r="F163" s="351">
        <f>#N/A</f>
        <v>4678.65</v>
      </c>
      <c r="G163" s="351">
        <f>#N/A</f>
        <v>3823.97</v>
      </c>
      <c r="H163" s="351">
        <f>#N/A</f>
        <v>-854.6799999999998</v>
      </c>
      <c r="I163" s="189">
        <f>G163/F163</f>
        <v>0.8173233731952594</v>
      </c>
      <c r="J163" s="351">
        <f>#N/A</f>
        <v>-4520.43</v>
      </c>
      <c r="K163" s="189">
        <f>G163/E163</f>
        <v>0.4582678203345957</v>
      </c>
      <c r="L163" s="351">
        <f>#N/A</f>
        <v>0</v>
      </c>
      <c r="M163" s="351">
        <f>#N/A</f>
        <v>0</v>
      </c>
      <c r="N163" s="351">
        <f>#N/A</f>
        <v>0</v>
      </c>
      <c r="O163" s="351">
        <f>#N/A</f>
        <v>8229.1</v>
      </c>
      <c r="P163" s="351">
        <f>#N/A</f>
        <v>115.29999999999993</v>
      </c>
      <c r="Q163" s="189">
        <f>E163/O163</f>
        <v>1.0140112527493892</v>
      </c>
      <c r="R163" s="351">
        <f>#N/A</f>
        <v>5498.29</v>
      </c>
      <c r="S163" s="351">
        <f>#N/A</f>
        <v>-1674.32</v>
      </c>
      <c r="T163" s="189">
        <f>G163/R163</f>
        <v>0.6954835048715146</v>
      </c>
      <c r="U163" s="351">
        <f>#N/A</f>
        <v>689.9999999999995</v>
      </c>
      <c r="V163" s="351">
        <f>#N/A</f>
        <v>506.6699999999996</v>
      </c>
      <c r="W163" s="351">
        <f>#N/A</f>
        <v>-183.32999999999993</v>
      </c>
      <c r="X163" s="189">
        <f>V163/U163</f>
        <v>0.7343043478260869</v>
      </c>
      <c r="Y163" s="189">
        <f>#N/A</f>
        <v>-0.31852774787787463</v>
      </c>
    </row>
    <row r="164" ht="15" hidden="1"/>
    <row r="165" ht="15" hidden="1"/>
    <row r="166" ht="15" hidden="1"/>
    <row r="167" ht="15" hidden="1"/>
    <row r="168" ht="15" hidden="1"/>
    <row r="169" spans="6:8" ht="15" hidden="1">
      <c r="F169" s="267"/>
      <c r="H169" s="163"/>
    </row>
    <row r="171" spans="6:9" ht="15">
      <c r="F171" s="267"/>
      <c r="H171" s="267"/>
      <c r="I171" s="163"/>
    </row>
  </sheetData>
  <sheetProtection/>
  <mergeCells count="30">
    <mergeCell ref="B113:C113"/>
    <mergeCell ref="G113:H113"/>
    <mergeCell ref="G108:H108"/>
    <mergeCell ref="G109:H109"/>
    <mergeCell ref="G110:H110"/>
    <mergeCell ref="B111:C111"/>
    <mergeCell ref="G111:H111"/>
    <mergeCell ref="G112:H112"/>
    <mergeCell ref="V4:V5"/>
    <mergeCell ref="W4:W5"/>
    <mergeCell ref="X4:X5"/>
    <mergeCell ref="L5:N5"/>
    <mergeCell ref="O5:Q5"/>
    <mergeCell ref="R5:T5"/>
    <mergeCell ref="F4:F5"/>
    <mergeCell ref="G4:G5"/>
    <mergeCell ref="H4:H5"/>
    <mergeCell ref="I4:I5"/>
    <mergeCell ref="J4:J5"/>
    <mergeCell ref="K4:K5"/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</mergeCells>
  <printOptions/>
  <pageMargins left="0.11811023622047245" right="0" top="0" bottom="0" header="0" footer="0"/>
  <pageSetup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0"/>
  <sheetViews>
    <sheetView zoomScale="68" zoomScaleNormal="68" zoomScalePageLayoutView="0" workbookViewId="0" topLeftCell="B1">
      <pane xSplit="3" ySplit="8" topLeftCell="E9" activePane="bottomRight" state="frozen"/>
      <selection pane="topLeft" activeCell="B1" sqref="B1"/>
      <selection pane="topRight" activeCell="E1" sqref="E1"/>
      <selection pane="bottomLeft" activeCell="B9" sqref="B9"/>
      <selection pane="bottomRight" activeCell="F20" sqref="F2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4.50390625" style="163" hidden="1" customWidth="1"/>
    <col min="18" max="18" width="13.625" style="4" customWidth="1"/>
    <col min="19" max="19" width="12.25390625" style="4" customWidth="1"/>
    <col min="20" max="20" width="14.25390625" style="4" customWidth="1"/>
    <col min="21" max="21" width="12.00390625" style="4" customWidth="1"/>
    <col min="22" max="22" width="12.25390625" style="4" customWidth="1"/>
    <col min="23" max="23" width="14.50390625" style="4" customWidth="1"/>
    <col min="24" max="24" width="12.75390625" style="4" customWidth="1"/>
    <col min="25" max="25" width="11.375" style="186" customWidth="1"/>
    <col min="26" max="16384" width="9.125" style="4" customWidth="1"/>
  </cols>
  <sheetData>
    <row r="1" spans="1:25" s="1" customFormat="1" ht="26.25" customHeight="1">
      <c r="A1" s="504" t="s">
        <v>247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186"/>
    </row>
    <row r="2" spans="2:25" s="1" customFormat="1" ht="15.75" customHeight="1">
      <c r="B2" s="470"/>
      <c r="C2" s="470"/>
      <c r="D2" s="470"/>
      <c r="E2" s="470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71"/>
      <c r="B3" s="473"/>
      <c r="C3" s="474" t="s">
        <v>0</v>
      </c>
      <c r="D3" s="475" t="s">
        <v>131</v>
      </c>
      <c r="E3" s="475" t="s">
        <v>221</v>
      </c>
      <c r="F3" s="25"/>
      <c r="G3" s="476" t="s">
        <v>26</v>
      </c>
      <c r="H3" s="477"/>
      <c r="I3" s="477"/>
      <c r="J3" s="477"/>
      <c r="K3" s="478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479" t="s">
        <v>244</v>
      </c>
      <c r="V3" s="482" t="s">
        <v>245</v>
      </c>
      <c r="W3" s="482"/>
      <c r="X3" s="482"/>
      <c r="Y3" s="194"/>
    </row>
    <row r="4" spans="1:24" ht="22.5" customHeight="1">
      <c r="A4" s="471"/>
      <c r="B4" s="473"/>
      <c r="C4" s="474"/>
      <c r="D4" s="475"/>
      <c r="E4" s="475"/>
      <c r="F4" s="483" t="s">
        <v>241</v>
      </c>
      <c r="G4" s="485" t="s">
        <v>31</v>
      </c>
      <c r="H4" s="487" t="s">
        <v>242</v>
      </c>
      <c r="I4" s="480" t="s">
        <v>243</v>
      </c>
      <c r="J4" s="487" t="s">
        <v>132</v>
      </c>
      <c r="K4" s="480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0"/>
      <c r="V4" s="489" t="s">
        <v>248</v>
      </c>
      <c r="W4" s="487" t="s">
        <v>44</v>
      </c>
      <c r="X4" s="491" t="s">
        <v>43</v>
      </c>
    </row>
    <row r="5" spans="1:24" ht="67.5" customHeight="1">
      <c r="A5" s="472"/>
      <c r="B5" s="473"/>
      <c r="C5" s="474"/>
      <c r="D5" s="475"/>
      <c r="E5" s="475"/>
      <c r="F5" s="484"/>
      <c r="G5" s="486"/>
      <c r="H5" s="488"/>
      <c r="I5" s="481"/>
      <c r="J5" s="488"/>
      <c r="K5" s="481"/>
      <c r="L5" s="492" t="s">
        <v>135</v>
      </c>
      <c r="M5" s="493"/>
      <c r="N5" s="494"/>
      <c r="O5" s="495" t="s">
        <v>255</v>
      </c>
      <c r="P5" s="496"/>
      <c r="Q5" s="497"/>
      <c r="R5" s="498" t="s">
        <v>246</v>
      </c>
      <c r="S5" s="498"/>
      <c r="T5" s="498"/>
      <c r="U5" s="481"/>
      <c r="V5" s="490"/>
      <c r="W5" s="488"/>
      <c r="X5" s="491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1603250.9</v>
      </c>
      <c r="F8" s="103">
        <f>F9+F15+F18+F19+F23+F17</f>
        <v>733997.95</v>
      </c>
      <c r="G8" s="103">
        <f>G9+G15+G18+G19+G23+G17</f>
        <v>772385.9600000001</v>
      </c>
      <c r="H8" s="103">
        <f>G8-F8</f>
        <v>38388.010000000126</v>
      </c>
      <c r="I8" s="210">
        <f>#N/A</f>
        <v>1.0522998872135816</v>
      </c>
      <c r="J8" s="104">
        <f>#N/A</f>
        <v>-830864.9399999998</v>
      </c>
      <c r="K8" s="156">
        <f>#N/A</f>
        <v>0.4817623741860991</v>
      </c>
      <c r="L8" s="104"/>
      <c r="M8" s="104"/>
      <c r="N8" s="104"/>
      <c r="O8" s="104">
        <v>1329586.12</v>
      </c>
      <c r="P8" s="104">
        <f>#N/A</f>
        <v>273664.7799999998</v>
      </c>
      <c r="Q8" s="156">
        <f>#N/A</f>
        <v>1.2058270433809881</v>
      </c>
      <c r="R8" s="103">
        <v>609470.13</v>
      </c>
      <c r="S8" s="103">
        <f>#N/A</f>
        <v>162915.83000000007</v>
      </c>
      <c r="T8" s="143">
        <f>#N/A</f>
        <v>1.2673073248068778</v>
      </c>
      <c r="U8" s="103">
        <f>U9+U15+U18+U19+U23+U17</f>
        <v>96830.00000000006</v>
      </c>
      <c r="V8" s="103">
        <f>V9+V15+V18+V19+V23+V17</f>
        <v>123078.26000000004</v>
      </c>
      <c r="W8" s="103">
        <f>V8-U8</f>
        <v>26248.25999999998</v>
      </c>
      <c r="X8" s="143">
        <f>#N/A</f>
        <v>1.271075699679851</v>
      </c>
      <c r="Y8" s="199">
        <f>#N/A</f>
        <v>0.06148028142588968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f>956203+20517.1</f>
        <v>976720.1</v>
      </c>
      <c r="F9" s="102">
        <f>463443.25-27500</f>
        <v>435943.25</v>
      </c>
      <c r="G9" s="106">
        <v>467997.63</v>
      </c>
      <c r="H9" s="102">
        <f>G9-F9</f>
        <v>32054.380000000005</v>
      </c>
      <c r="I9" s="208">
        <f>#N/A</f>
        <v>1.0735287907313624</v>
      </c>
      <c r="J9" s="108">
        <f>#N/A</f>
        <v>-508722.47</v>
      </c>
      <c r="K9" s="148">
        <f>#N/A</f>
        <v>0.47915224638051374</v>
      </c>
      <c r="L9" s="108"/>
      <c r="M9" s="108"/>
      <c r="N9" s="108"/>
      <c r="O9" s="108">
        <v>775821.8</v>
      </c>
      <c r="P9" s="108">
        <f>#N/A</f>
        <v>200898.29999999993</v>
      </c>
      <c r="Q9" s="148">
        <f>#N/A</f>
        <v>1.2589490266965944</v>
      </c>
      <c r="R9" s="115">
        <v>351542.38</v>
      </c>
      <c r="S9" s="109">
        <f>#N/A</f>
        <v>116455.25</v>
      </c>
      <c r="T9" s="144">
        <f>#N/A</f>
        <v>1.3312694475129856</v>
      </c>
      <c r="U9" s="107">
        <f>F9-травень!F9</f>
        <v>58681.00000000006</v>
      </c>
      <c r="V9" s="110">
        <f>G9-травень!G9</f>
        <v>87180.78000000003</v>
      </c>
      <c r="W9" s="111">
        <f>V9-U9</f>
        <v>28499.77999999997</v>
      </c>
      <c r="X9" s="148">
        <f>#N/A</f>
        <v>1.485673045789948</v>
      </c>
      <c r="Y9" s="200">
        <f>#N/A</f>
        <v>0.07232042081639123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881803+20517.1</f>
        <v>902320.1</v>
      </c>
      <c r="F10" s="71">
        <f>426386.91-27500</f>
        <v>398886.91</v>
      </c>
      <c r="G10" s="94">
        <v>427136.95</v>
      </c>
      <c r="H10" s="71">
        <f>#N/A</f>
        <v>28250.040000000037</v>
      </c>
      <c r="I10" s="209">
        <f>#N/A</f>
        <v>1.0708221786470757</v>
      </c>
      <c r="J10" s="72">
        <f>#N/A</f>
        <v>-475183.14999999997</v>
      </c>
      <c r="K10" s="75">
        <f>#N/A</f>
        <v>0.47337629960808814</v>
      </c>
      <c r="L10" s="72"/>
      <c r="M10" s="72"/>
      <c r="N10" s="72"/>
      <c r="O10" s="72">
        <v>709899.75</v>
      </c>
      <c r="P10" s="72">
        <f>#N/A</f>
        <v>192420.34999999998</v>
      </c>
      <c r="Q10" s="75">
        <f>#N/A</f>
        <v>1.2710528493635898</v>
      </c>
      <c r="R10" s="74">
        <v>322544.76</v>
      </c>
      <c r="S10" s="74">
        <f>#N/A</f>
        <v>104592.19</v>
      </c>
      <c r="T10" s="145">
        <f>#N/A</f>
        <v>1.3242718622990497</v>
      </c>
      <c r="U10" s="73">
        <f>F10-травень!F10</f>
        <v>53100</v>
      </c>
      <c r="V10" s="98">
        <f>G10-травень!G10</f>
        <v>80526.23999999999</v>
      </c>
      <c r="W10" s="74">
        <f>#N/A</f>
        <v>27426.23999999999</v>
      </c>
      <c r="X10" s="75">
        <f>#N/A</f>
        <v>1.516501694915254</v>
      </c>
      <c r="Y10" s="198">
        <f>#N/A</f>
        <v>0.05321901293545994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24860.3</v>
      </c>
      <c r="G11" s="94">
        <v>26063.82</v>
      </c>
      <c r="H11" s="71">
        <f>#N/A</f>
        <v>1203.5200000000004</v>
      </c>
      <c r="I11" s="209">
        <f>#N/A</f>
        <v>1.0484113224699623</v>
      </c>
      <c r="J11" s="72">
        <f>#N/A</f>
        <v>-23836.18</v>
      </c>
      <c r="K11" s="75">
        <f>#N/A</f>
        <v>0.5223210420841683</v>
      </c>
      <c r="L11" s="72"/>
      <c r="M11" s="72"/>
      <c r="N11" s="72"/>
      <c r="O11" s="72">
        <v>42516.41</v>
      </c>
      <c r="P11" s="72">
        <f>#N/A</f>
        <v>7383.5899999999965</v>
      </c>
      <c r="Q11" s="75">
        <f>#N/A</f>
        <v>1.1736644744934954</v>
      </c>
      <c r="R11" s="74">
        <v>19085.89</v>
      </c>
      <c r="S11" s="74">
        <f>#N/A</f>
        <v>6977.93</v>
      </c>
      <c r="T11" s="145">
        <f>#N/A</f>
        <v>1.3656067388002342</v>
      </c>
      <c r="U11" s="73">
        <f>F11-травень!F11</f>
        <v>3819</v>
      </c>
      <c r="V11" s="98">
        <f>G11-травень!G11</f>
        <v>4924.23</v>
      </c>
      <c r="W11" s="74">
        <f>#N/A</f>
        <v>1105.2299999999996</v>
      </c>
      <c r="X11" s="75">
        <f>#N/A</f>
        <v>1.2894029850746267</v>
      </c>
      <c r="Y11" s="198">
        <f>#N/A</f>
        <v>0.19194226430673877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6521.41</v>
      </c>
      <c r="G12" s="94">
        <v>8335.11</v>
      </c>
      <c r="H12" s="71">
        <f>#N/A</f>
        <v>1813.7000000000007</v>
      </c>
      <c r="I12" s="209">
        <f>#N/A</f>
        <v>1.2781147021886372</v>
      </c>
      <c r="J12" s="72">
        <f>#N/A</f>
        <v>-3664.8899999999994</v>
      </c>
      <c r="K12" s="75">
        <f>#N/A</f>
        <v>0.6945925000000001</v>
      </c>
      <c r="L12" s="72"/>
      <c r="M12" s="72"/>
      <c r="N12" s="72"/>
      <c r="O12" s="72">
        <v>11992.15</v>
      </c>
      <c r="P12" s="72">
        <f>#N/A</f>
        <v>7.850000000000364</v>
      </c>
      <c r="Q12" s="75">
        <f>#N/A</f>
        <v>1.0006545948808179</v>
      </c>
      <c r="R12" s="74">
        <v>4513.03</v>
      </c>
      <c r="S12" s="74">
        <f>#N/A</f>
        <v>3822.080000000001</v>
      </c>
      <c r="T12" s="145">
        <f>#N/A</f>
        <v>1.8468988683877574</v>
      </c>
      <c r="U12" s="73">
        <f>F12-травень!F12</f>
        <v>625</v>
      </c>
      <c r="V12" s="98">
        <f>G12-травень!G12</f>
        <v>1059.5600000000004</v>
      </c>
      <c r="W12" s="74">
        <f>#N/A</f>
        <v>434.5600000000004</v>
      </c>
      <c r="X12" s="75">
        <f>#N/A</f>
        <v>1.6952960000000006</v>
      </c>
      <c r="Y12" s="198">
        <f>#N/A</f>
        <v>0.8462442735069395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5364</v>
      </c>
      <c r="G13" s="94">
        <v>6154.13</v>
      </c>
      <c r="H13" s="71">
        <f>#N/A</f>
        <v>790.1300000000001</v>
      </c>
      <c r="I13" s="209">
        <f>#N/A</f>
        <v>1.1473023862788965</v>
      </c>
      <c r="J13" s="72">
        <f>#N/A</f>
        <v>-5845.87</v>
      </c>
      <c r="K13" s="75">
        <f>#N/A</f>
        <v>0.5128441666666667</v>
      </c>
      <c r="L13" s="72"/>
      <c r="M13" s="72"/>
      <c r="N13" s="72"/>
      <c r="O13" s="72">
        <v>10036.81</v>
      </c>
      <c r="P13" s="72">
        <f>#N/A</f>
        <v>1963.1900000000005</v>
      </c>
      <c r="Q13" s="75">
        <f>#N/A</f>
        <v>1.195599000080703</v>
      </c>
      <c r="R13" s="74">
        <v>4691.17</v>
      </c>
      <c r="S13" s="74">
        <f>#N/A</f>
        <v>1462.96</v>
      </c>
      <c r="T13" s="145">
        <f>#N/A</f>
        <v>1.3118539724631595</v>
      </c>
      <c r="U13" s="73">
        <f>F13-травень!F13</f>
        <v>1104</v>
      </c>
      <c r="V13" s="98">
        <f>G13-травень!G13</f>
        <v>670.7300000000005</v>
      </c>
      <c r="W13" s="74">
        <f>#N/A</f>
        <v>-433.2699999999995</v>
      </c>
      <c r="X13" s="75">
        <f>#N/A</f>
        <v>0.607545289855073</v>
      </c>
      <c r="Y13" s="198">
        <f>#N/A</f>
        <v>0.11625497238245641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310.63</v>
      </c>
      <c r="G14" s="94">
        <v>307.62</v>
      </c>
      <c r="H14" s="71">
        <f>#N/A</f>
        <v>-3.009999999999991</v>
      </c>
      <c r="I14" s="209">
        <f>#N/A</f>
        <v>0.9903100151305412</v>
      </c>
      <c r="J14" s="72">
        <f>#N/A</f>
        <v>-192.38</v>
      </c>
      <c r="K14" s="75">
        <f>#N/A</f>
        <v>0.61524</v>
      </c>
      <c r="L14" s="72"/>
      <c r="M14" s="72"/>
      <c r="N14" s="72"/>
      <c r="O14" s="72">
        <v>1376.68</v>
      </c>
      <c r="P14" s="72">
        <f>#N/A</f>
        <v>-876.6800000000001</v>
      </c>
      <c r="Q14" s="75">
        <f>#N/A</f>
        <v>0.36319260830403577</v>
      </c>
      <c r="R14" s="74">
        <v>707.53</v>
      </c>
      <c r="S14" s="74">
        <f>#N/A</f>
        <v>-399.90999999999997</v>
      </c>
      <c r="T14" s="145">
        <f>#N/A</f>
        <v>0.4347801506649895</v>
      </c>
      <c r="U14" s="73">
        <f>F14-травень!F14</f>
        <v>33</v>
      </c>
      <c r="V14" s="98">
        <f>G14-травень!G14</f>
        <v>0</v>
      </c>
      <c r="W14" s="74">
        <f>#N/A</f>
        <v>-33</v>
      </c>
      <c r="X14" s="75">
        <f>#N/A</f>
        <v>0</v>
      </c>
      <c r="Y14" s="198">
        <f>#N/A</f>
        <v>0.07158754236095372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365</v>
      </c>
      <c r="G15" s="106">
        <v>1041.89</v>
      </c>
      <c r="H15" s="102">
        <f>#N/A</f>
        <v>676.8900000000001</v>
      </c>
      <c r="I15" s="208">
        <f>#N/A</f>
        <v>2.854493150684932</v>
      </c>
      <c r="J15" s="108">
        <f>#N/A</f>
        <v>141.8900000000001</v>
      </c>
      <c r="K15" s="108">
        <f>#N/A</f>
        <v>115.76555555555557</v>
      </c>
      <c r="L15" s="108"/>
      <c r="M15" s="108"/>
      <c r="N15" s="108"/>
      <c r="O15" s="108">
        <v>887.61</v>
      </c>
      <c r="P15" s="108">
        <f>#N/A</f>
        <v>12.389999999999986</v>
      </c>
      <c r="Q15" s="148">
        <f>#N/A</f>
        <v>1.0139588332713692</v>
      </c>
      <c r="R15" s="111">
        <v>44.56</v>
      </c>
      <c r="S15" s="111">
        <f>#N/A</f>
        <v>997.3300000000002</v>
      </c>
      <c r="T15" s="146">
        <f>#N/A</f>
        <v>23.38173249551167</v>
      </c>
      <c r="U15" s="107">
        <f>F15-травень!F15</f>
        <v>0</v>
      </c>
      <c r="V15" s="110">
        <f>G15-травень!G15</f>
        <v>0.17000000000007276</v>
      </c>
      <c r="W15" s="111">
        <f>#N/A</f>
        <v>0.17000000000007276</v>
      </c>
      <c r="X15" s="148" t="e">
        <f>#N/A</f>
        <v>#DIV/0!</v>
      </c>
      <c r="Y15" s="197">
        <f>#N/A</f>
        <v>22.3677736622403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>#N/A</f>
        <v>0</v>
      </c>
      <c r="I16" s="208" t="e">
        <f>G16/F16/100</f>
        <v>#DIV/0!</v>
      </c>
      <c r="J16" s="108">
        <f>#N/A</f>
        <v>0</v>
      </c>
      <c r="K16" s="108" t="e">
        <f>#N/A</f>
        <v>#DIV/0!</v>
      </c>
      <c r="L16" s="108"/>
      <c r="M16" s="108"/>
      <c r="N16" s="108"/>
      <c r="O16" s="108"/>
      <c r="P16" s="108">
        <f>#N/A</f>
        <v>0</v>
      </c>
      <c r="Q16" s="148" t="e">
        <f>#N/A</f>
        <v>#DIV/0!</v>
      </c>
      <c r="R16" s="111">
        <f>O16</f>
        <v>0</v>
      </c>
      <c r="S16" s="111">
        <f>#N/A</f>
        <v>0</v>
      </c>
      <c r="T16" s="146" t="e">
        <f>#N/A</f>
        <v>#DIV/0!</v>
      </c>
      <c r="U16" s="107">
        <f>F16-травень!F16</f>
        <v>0</v>
      </c>
      <c r="V16" s="110">
        <f>G16-травень!G16</f>
        <v>0</v>
      </c>
      <c r="W16" s="111">
        <f>#N/A</f>
        <v>0</v>
      </c>
      <c r="X16" s="148" t="e">
        <f>V16/U16*100</f>
        <v>#DIV/0!</v>
      </c>
      <c r="Y16" s="197" t="e">
        <f>#N/A</f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>#N/A</f>
        <v>0</v>
      </c>
      <c r="I17" s="208"/>
      <c r="J17" s="108">
        <f>#N/A</f>
        <v>0</v>
      </c>
      <c r="K17" s="108"/>
      <c r="L17" s="108"/>
      <c r="M17" s="108"/>
      <c r="N17" s="108"/>
      <c r="O17" s="108">
        <v>0.49</v>
      </c>
      <c r="P17" s="108">
        <f>#N/A</f>
        <v>-0.49</v>
      </c>
      <c r="Q17" s="148">
        <f>#N/A</f>
        <v>0</v>
      </c>
      <c r="R17" s="111">
        <v>0.49</v>
      </c>
      <c r="S17" s="111">
        <f>#N/A</f>
        <v>-0.49</v>
      </c>
      <c r="T17" s="146">
        <f>#N/A</f>
        <v>0</v>
      </c>
      <c r="U17" s="107">
        <f>F17-травень!F17</f>
        <v>0</v>
      </c>
      <c r="V17" s="110">
        <f>G17-травень!G17</f>
        <v>0</v>
      </c>
      <c r="W17" s="111">
        <f>#N/A</f>
        <v>0</v>
      </c>
      <c r="X17" s="148"/>
      <c r="Y17" s="197">
        <f>#N/A</f>
        <v>0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140.5</v>
      </c>
      <c r="G18" s="106">
        <v>194.24</v>
      </c>
      <c r="H18" s="102">
        <f>#N/A</f>
        <v>53.74000000000001</v>
      </c>
      <c r="I18" s="208">
        <f>#N/A</f>
        <v>1.382491103202847</v>
      </c>
      <c r="J18" s="108">
        <f>#N/A</f>
        <v>-41.359999999999985</v>
      </c>
      <c r="K18" s="108">
        <f>#N/A</f>
        <v>82.44482173174873</v>
      </c>
      <c r="L18" s="108"/>
      <c r="M18" s="108"/>
      <c r="N18" s="108"/>
      <c r="O18" s="108">
        <v>220.59</v>
      </c>
      <c r="P18" s="108">
        <f>#N/A</f>
        <v>15.009999999999991</v>
      </c>
      <c r="Q18" s="148">
        <f>#N/A</f>
        <v>1.0680447889750215</v>
      </c>
      <c r="R18" s="111">
        <v>118.46</v>
      </c>
      <c r="S18" s="111">
        <f>#N/A</f>
        <v>75.78000000000002</v>
      </c>
      <c r="T18" s="146">
        <f>#N/A</f>
        <v>1.639709606618268</v>
      </c>
      <c r="U18" s="107">
        <f>F18-травень!F18</f>
        <v>0</v>
      </c>
      <c r="V18" s="110">
        <f>G18-травень!G18</f>
        <v>0</v>
      </c>
      <c r="W18" s="111">
        <f>#N/A</f>
        <v>0</v>
      </c>
      <c r="X18" s="148" t="e">
        <f>#N/A</f>
        <v>#DIV/0!</v>
      </c>
      <c r="Y18" s="197">
        <f>#N/A</f>
        <v>0.5716648176432464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v>68623</v>
      </c>
      <c r="G19" s="158">
        <v>59008.81</v>
      </c>
      <c r="H19" s="102">
        <f>#N/A</f>
        <v>-9614.190000000002</v>
      </c>
      <c r="I19" s="208">
        <f>#N/A</f>
        <v>0.8598984305553531</v>
      </c>
      <c r="J19" s="108">
        <f>#N/A</f>
        <v>-92719.19</v>
      </c>
      <c r="K19" s="108">
        <f>#N/A</f>
        <v>38.89118026995676</v>
      </c>
      <c r="L19" s="108"/>
      <c r="M19" s="108"/>
      <c r="N19" s="108"/>
      <c r="O19" s="108">
        <v>121950.14</v>
      </c>
      <c r="P19" s="108">
        <f>#N/A</f>
        <v>29777.86</v>
      </c>
      <c r="Q19" s="148">
        <f>#N/A</f>
        <v>1.2441806134867905</v>
      </c>
      <c r="R19" s="111">
        <v>53960.11</v>
      </c>
      <c r="S19" s="111">
        <f>#N/A</f>
        <v>5048.699999999997</v>
      </c>
      <c r="T19" s="146">
        <f>#N/A</f>
        <v>1.0935635601928906</v>
      </c>
      <c r="U19" s="107">
        <f>F19-травень!F19</f>
        <v>12360</v>
      </c>
      <c r="V19" s="110">
        <f>G19-травень!G19</f>
        <v>10573.099999999999</v>
      </c>
      <c r="W19" s="111">
        <f>#N/A</f>
        <v>-1786.9000000000015</v>
      </c>
      <c r="X19" s="148">
        <f>#N/A</f>
        <v>0.8554288025889967</v>
      </c>
      <c r="Y19" s="197">
        <f>#N/A</f>
        <v>-0.15061705329389996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27223</v>
      </c>
      <c r="G20" s="141">
        <v>26449.58</v>
      </c>
      <c r="H20" s="170">
        <f>#N/A</f>
        <v>-773.4199999999983</v>
      </c>
      <c r="I20" s="211">
        <f>#N/A</f>
        <v>0.971589464790802</v>
      </c>
      <c r="J20" s="171">
        <f>#N/A</f>
        <v>-40258.42</v>
      </c>
      <c r="K20" s="171">
        <f>#N/A</f>
        <v>39.64978713197817</v>
      </c>
      <c r="L20" s="171"/>
      <c r="M20" s="171"/>
      <c r="N20" s="171"/>
      <c r="O20" s="171">
        <v>60736.45</v>
      </c>
      <c r="P20" s="171">
        <f>#N/A</f>
        <v>5971.550000000003</v>
      </c>
      <c r="Q20" s="180">
        <f>#N/A</f>
        <v>1.098319048940134</v>
      </c>
      <c r="R20" s="116">
        <v>31235.26</v>
      </c>
      <c r="S20" s="116">
        <f>#N/A</f>
        <v>-4785.679999999997</v>
      </c>
      <c r="T20" s="172">
        <f>#N/A</f>
        <v>0.8467859720072765</v>
      </c>
      <c r="U20" s="136">
        <f>F20-травень!F20</f>
        <v>5260</v>
      </c>
      <c r="V20" s="124">
        <f>G20-травень!G20</f>
        <v>5130.470000000001</v>
      </c>
      <c r="W20" s="116">
        <f>#N/A</f>
        <v>-129.52999999999884</v>
      </c>
      <c r="X20" s="180">
        <f>#N/A</f>
        <v>0.9753745247148291</v>
      </c>
      <c r="Y20" s="198">
        <f>#N/A</f>
        <v>-0.25153307693285754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7800</v>
      </c>
      <c r="G21" s="141">
        <v>6880.51</v>
      </c>
      <c r="H21" s="170">
        <f>#N/A</f>
        <v>-919.4899999999998</v>
      </c>
      <c r="I21" s="211">
        <f>#N/A</f>
        <v>0.8821166666666667</v>
      </c>
      <c r="J21" s="171">
        <f>#N/A</f>
        <v>-8815.49</v>
      </c>
      <c r="K21" s="171">
        <f>#N/A</f>
        <v>43.836072884811415</v>
      </c>
      <c r="L21" s="171"/>
      <c r="M21" s="171"/>
      <c r="N21" s="171"/>
      <c r="O21" s="171">
        <v>12528.71</v>
      </c>
      <c r="P21" s="171">
        <f>#N/A</f>
        <v>3167.290000000001</v>
      </c>
      <c r="Q21" s="180">
        <f>#N/A</f>
        <v>1.2528025630731336</v>
      </c>
      <c r="R21" s="116">
        <v>4748.33</v>
      </c>
      <c r="S21" s="116">
        <f>#N/A</f>
        <v>2132.1800000000003</v>
      </c>
      <c r="T21" s="172">
        <f>#N/A</f>
        <v>1.4490378722624586</v>
      </c>
      <c r="U21" s="136">
        <f>F21-травень!F21</f>
        <v>1300</v>
      </c>
      <c r="V21" s="124">
        <f>G21-травень!G21</f>
        <v>947.1199999999999</v>
      </c>
      <c r="W21" s="116">
        <f>#N/A</f>
        <v>-352.8800000000001</v>
      </c>
      <c r="X21" s="180">
        <f>#N/A</f>
        <v>0.7285538461538461</v>
      </c>
      <c r="Y21" s="198">
        <f>#N/A</f>
        <v>0.19623530918932497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33600</v>
      </c>
      <c r="G22" s="141">
        <v>25678.72</v>
      </c>
      <c r="H22" s="170">
        <f>#N/A</f>
        <v>-7921.279999999999</v>
      </c>
      <c r="I22" s="211">
        <f>#N/A</f>
        <v>0.7642476190476191</v>
      </c>
      <c r="J22" s="171">
        <f>#N/A</f>
        <v>-43645.28</v>
      </c>
      <c r="K22" s="171">
        <f>#N/A</f>
        <v>37.04160175408228</v>
      </c>
      <c r="L22" s="171"/>
      <c r="M22" s="171"/>
      <c r="N22" s="171"/>
      <c r="O22" s="171">
        <v>48684.98</v>
      </c>
      <c r="P22" s="171">
        <f>#N/A</f>
        <v>20639.019999999997</v>
      </c>
      <c r="Q22" s="180">
        <f>#N/A</f>
        <v>1.4239299266426728</v>
      </c>
      <c r="R22" s="116">
        <v>17976.52</v>
      </c>
      <c r="S22" s="116">
        <f>#N/A</f>
        <v>7702.200000000001</v>
      </c>
      <c r="T22" s="172">
        <f>#N/A</f>
        <v>1.4284589008328643</v>
      </c>
      <c r="U22" s="136">
        <f>F22-травень!F22</f>
        <v>5800</v>
      </c>
      <c r="V22" s="124">
        <f>G22-травень!G22</f>
        <v>4495.510000000002</v>
      </c>
      <c r="W22" s="116">
        <f>#N/A</f>
        <v>-1304.489999999998</v>
      </c>
      <c r="X22" s="180">
        <f>#N/A</f>
        <v>0.7750879310344831</v>
      </c>
      <c r="Y22" s="198">
        <f>#N/A</f>
        <v>0.004528974190191493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473667.19999999995</v>
      </c>
      <c r="F23" s="102">
        <f>F24+F43+F47+F42+F46</f>
        <v>228926.2</v>
      </c>
      <c r="G23" s="158">
        <v>244143.39</v>
      </c>
      <c r="H23" s="102">
        <f>#N/A</f>
        <v>15217.190000000002</v>
      </c>
      <c r="I23" s="208">
        <f>#N/A</f>
        <v>1.066472033345244</v>
      </c>
      <c r="J23" s="108">
        <f>#N/A</f>
        <v>-229523.80999999994</v>
      </c>
      <c r="K23" s="108">
        <f>#N/A</f>
        <v>51.54323330811169</v>
      </c>
      <c r="L23" s="108"/>
      <c r="M23" s="108"/>
      <c r="N23" s="108"/>
      <c r="O23" s="108">
        <v>430705.5</v>
      </c>
      <c r="P23" s="108">
        <f>#N/A</f>
        <v>42961.69999999995</v>
      </c>
      <c r="Q23" s="148">
        <f>#N/A</f>
        <v>1.099747275110255</v>
      </c>
      <c r="R23" s="108">
        <v>203804.13</v>
      </c>
      <c r="S23" s="111">
        <f>#N/A</f>
        <v>40339.26000000001</v>
      </c>
      <c r="T23" s="147">
        <f>#N/A</f>
        <v>1.1979315139492022</v>
      </c>
      <c r="U23" s="107">
        <f>F23-травень!F23</f>
        <v>25789</v>
      </c>
      <c r="V23" s="110">
        <f>G23-травень!G23</f>
        <v>25324.21000000002</v>
      </c>
      <c r="W23" s="111">
        <f>#N/A</f>
        <v>-464.78999999997905</v>
      </c>
      <c r="X23" s="148">
        <f>#N/A</f>
        <v>0.9819771995812177</v>
      </c>
      <c r="Y23" s="197">
        <f>T23-Q23</f>
        <v>0.09818423883894711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102591.01000000001</v>
      </c>
      <c r="G24" s="158">
        <f>G25+G32+G35</f>
        <v>115421.26</v>
      </c>
      <c r="H24" s="102">
        <f>#N/A</f>
        <v>12830.249999999985</v>
      </c>
      <c r="I24" s="208">
        <f>#N/A</f>
        <v>1.1250621277634365</v>
      </c>
      <c r="J24" s="108">
        <f>#N/A</f>
        <v>-101420.74</v>
      </c>
      <c r="K24" s="148">
        <f>#N/A</f>
        <v>0.5322827680984311</v>
      </c>
      <c r="L24" s="108"/>
      <c r="M24" s="108"/>
      <c r="N24" s="108"/>
      <c r="O24" s="108">
        <v>207231.03</v>
      </c>
      <c r="P24" s="108">
        <f>#N/A</f>
        <v>9610.970000000001</v>
      </c>
      <c r="Q24" s="148">
        <f>#N/A</f>
        <v>1.0463780448323787</v>
      </c>
      <c r="R24" s="108">
        <v>99393.67</v>
      </c>
      <c r="S24" s="111">
        <f>#N/A</f>
        <v>16027.589999999997</v>
      </c>
      <c r="T24" s="147">
        <f>#N/A</f>
        <v>1.1612536291295008</v>
      </c>
      <c r="U24" s="107">
        <f>F24-травень!F24</f>
        <v>16888</v>
      </c>
      <c r="V24" s="110">
        <f>G24-травень!G24</f>
        <v>16241.949999999997</v>
      </c>
      <c r="W24" s="111">
        <f>#N/A</f>
        <v>-646.0500000000029</v>
      </c>
      <c r="X24" s="148">
        <f>#N/A</f>
        <v>0.9617450260540027</v>
      </c>
      <c r="Y24" s="197">
        <f>#N/A</f>
        <v>0.11487558429712208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12800.5</v>
      </c>
      <c r="G25" s="141">
        <v>15200.96</v>
      </c>
      <c r="H25" s="170">
        <f>#N/A</f>
        <v>2400.459999999999</v>
      </c>
      <c r="I25" s="211">
        <f>#N/A</f>
        <v>1.1875286121635873</v>
      </c>
      <c r="J25" s="171">
        <f>#N/A</f>
        <v>-13583.04</v>
      </c>
      <c r="K25" s="180">
        <f>#N/A</f>
        <v>0.5281045025013896</v>
      </c>
      <c r="L25" s="171"/>
      <c r="M25" s="171"/>
      <c r="N25" s="171"/>
      <c r="O25" s="171">
        <v>25414.16</v>
      </c>
      <c r="P25" s="171">
        <f>#N/A</f>
        <v>3369.84</v>
      </c>
      <c r="Q25" s="180">
        <f>#N/A</f>
        <v>1.1325969459545386</v>
      </c>
      <c r="R25" s="179">
        <v>11085.53</v>
      </c>
      <c r="S25" s="116">
        <f>#N/A</f>
        <v>4115.4299999999985</v>
      </c>
      <c r="T25" s="152">
        <f>#N/A</f>
        <v>1.3712434137113876</v>
      </c>
      <c r="U25" s="136">
        <f>F25-травень!F25</f>
        <v>937</v>
      </c>
      <c r="V25" s="124">
        <f>G25-травень!G25</f>
        <v>1817.33</v>
      </c>
      <c r="W25" s="116">
        <f>#N/A</f>
        <v>880.3299999999999</v>
      </c>
      <c r="X25" s="180">
        <f>#N/A</f>
        <v>1.9395197438633938</v>
      </c>
      <c r="Y25" s="197">
        <f>#N/A</f>
        <v>0.23864646775684895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308.61</v>
      </c>
      <c r="G26" s="139">
        <f>G28+G29</f>
        <v>1361.37</v>
      </c>
      <c r="H26" s="158">
        <f>#N/A</f>
        <v>1052.7599999999998</v>
      </c>
      <c r="I26" s="212">
        <f>#N/A</f>
        <v>4.4112958102459405</v>
      </c>
      <c r="J26" s="176">
        <f>#N/A</f>
        <v>-160.6300000000001</v>
      </c>
      <c r="K26" s="191">
        <f>#N/A</f>
        <v>0.8944612352168199</v>
      </c>
      <c r="L26" s="176"/>
      <c r="M26" s="176"/>
      <c r="N26" s="176"/>
      <c r="O26" s="176">
        <f>O28+O29</f>
        <v>1512.89</v>
      </c>
      <c r="P26" s="176">
        <f>#N/A</f>
        <v>9.1099999999999</v>
      </c>
      <c r="Q26" s="191">
        <f>#N/A</f>
        <v>1.006021587821983</v>
      </c>
      <c r="R26" s="140">
        <f>R28+R29</f>
        <v>213.26</v>
      </c>
      <c r="S26" s="201">
        <f>#N/A</f>
        <v>1148.11</v>
      </c>
      <c r="T26" s="162">
        <f>#N/A</f>
        <v>6.3836162430835595</v>
      </c>
      <c r="U26" s="167">
        <f>F26-травень!F26</f>
        <v>16</v>
      </c>
      <c r="V26" s="167">
        <f>G26-травень!G26</f>
        <v>501.6399999999999</v>
      </c>
      <c r="W26" s="176">
        <f>#N/A</f>
        <v>485.6399999999999</v>
      </c>
      <c r="X26" s="191">
        <f>#N/A</f>
        <v>31.352499999999992</v>
      </c>
      <c r="Y26" s="197">
        <f>#N/A</f>
        <v>5.377594655261577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12491.89</v>
      </c>
      <c r="G27" s="139">
        <f>G30+G31</f>
        <v>13839.59</v>
      </c>
      <c r="H27" s="158">
        <f>#N/A</f>
        <v>1347.7000000000007</v>
      </c>
      <c r="I27" s="212">
        <f>#N/A</f>
        <v>1.1078859964344867</v>
      </c>
      <c r="J27" s="176">
        <f>#N/A</f>
        <v>-13422.41</v>
      </c>
      <c r="K27" s="191">
        <f>#N/A</f>
        <v>0.507651309515076</v>
      </c>
      <c r="L27" s="176"/>
      <c r="M27" s="176"/>
      <c r="N27" s="176"/>
      <c r="O27" s="176">
        <f>O30+O31</f>
        <v>23901.28</v>
      </c>
      <c r="P27" s="176">
        <f>#N/A</f>
        <v>3360.720000000001</v>
      </c>
      <c r="Q27" s="191">
        <f>#N/A</f>
        <v>1.1406083690915299</v>
      </c>
      <c r="R27" s="140">
        <f>R30+R31</f>
        <v>10872.26</v>
      </c>
      <c r="S27" s="201">
        <f>#N/A</f>
        <v>2967.33</v>
      </c>
      <c r="T27" s="162">
        <f>#N/A</f>
        <v>1.2729266960135244</v>
      </c>
      <c r="U27" s="167">
        <f>F27-травень!F27</f>
        <v>921</v>
      </c>
      <c r="V27" s="167">
        <f>G27-травень!G27</f>
        <v>1315.6899999999987</v>
      </c>
      <c r="W27" s="176">
        <f>#N/A</f>
        <v>394.6899999999987</v>
      </c>
      <c r="X27" s="191">
        <f>#N/A</f>
        <v>1.4285450597176967</v>
      </c>
      <c r="Y27" s="197">
        <f>#N/A</f>
        <v>0.13231832692199452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142.8</v>
      </c>
      <c r="G28" s="206">
        <v>159.89</v>
      </c>
      <c r="H28" s="218">
        <f>#N/A</f>
        <v>17.089999999999975</v>
      </c>
      <c r="I28" s="220">
        <f>#N/A</f>
        <v>1.1196778711484592</v>
      </c>
      <c r="J28" s="221">
        <f>#N/A</f>
        <v>-156.11</v>
      </c>
      <c r="K28" s="222">
        <f>#N/A</f>
        <v>0.5059810126582278</v>
      </c>
      <c r="L28" s="176"/>
      <c r="M28" s="176"/>
      <c r="N28" s="176"/>
      <c r="O28" s="221">
        <v>275.91</v>
      </c>
      <c r="P28" s="221">
        <f>#N/A</f>
        <v>40.089999999999975</v>
      </c>
      <c r="Q28" s="222">
        <f>#N/A</f>
        <v>1.1453010039505636</v>
      </c>
      <c r="R28" s="221">
        <v>172</v>
      </c>
      <c r="S28" s="221">
        <f>#N/A</f>
        <v>-12.110000000000014</v>
      </c>
      <c r="T28" s="222">
        <f>#N/A</f>
        <v>0.9295930232558138</v>
      </c>
      <c r="U28" s="206">
        <f>F28-травень!F28</f>
        <v>5</v>
      </c>
      <c r="V28" s="206">
        <f>G28-травень!G28</f>
        <v>-10.810000000000002</v>
      </c>
      <c r="W28" s="221">
        <f>#N/A</f>
        <v>-15.810000000000002</v>
      </c>
      <c r="X28" s="222">
        <f>#N/A</f>
        <v>-2.1620000000000004</v>
      </c>
      <c r="Y28" s="465">
        <f>#N/A</f>
        <v>-0.21570798069474972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165.81</v>
      </c>
      <c r="G29" s="206">
        <v>1201.48</v>
      </c>
      <c r="H29" s="218">
        <f>#N/A</f>
        <v>1035.67</v>
      </c>
      <c r="I29" s="220">
        <f>#N/A</f>
        <v>7.246125082926241</v>
      </c>
      <c r="J29" s="221">
        <f>#N/A</f>
        <v>-4.519999999999982</v>
      </c>
      <c r="K29" s="222">
        <f>#N/A</f>
        <v>0.9962520729684909</v>
      </c>
      <c r="L29" s="176"/>
      <c r="M29" s="176"/>
      <c r="N29" s="176"/>
      <c r="O29" s="221">
        <v>1236.98</v>
      </c>
      <c r="P29" s="221">
        <f>#N/A</f>
        <v>-30.980000000000018</v>
      </c>
      <c r="Q29" s="222">
        <f>#N/A</f>
        <v>0.9749551326618053</v>
      </c>
      <c r="R29" s="221">
        <v>41.26</v>
      </c>
      <c r="S29" s="221">
        <f>#N/A</f>
        <v>1160.22</v>
      </c>
      <c r="T29" s="222">
        <f>#N/A</f>
        <v>29.11972855065439</v>
      </c>
      <c r="U29" s="206">
        <f>F29-травень!F29</f>
        <v>11</v>
      </c>
      <c r="V29" s="206">
        <f>G29-травень!G29</f>
        <v>512.45</v>
      </c>
      <c r="W29" s="221">
        <f>#N/A</f>
        <v>501.45000000000005</v>
      </c>
      <c r="X29" s="222">
        <f>#N/A</f>
        <v>46.58636363636364</v>
      </c>
      <c r="Y29" s="465">
        <f>#N/A</f>
        <v>28.144773417992585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366.09</v>
      </c>
      <c r="G30" s="206">
        <v>1540.58</v>
      </c>
      <c r="H30" s="218">
        <f>#N/A</f>
        <v>1174.49</v>
      </c>
      <c r="I30" s="220">
        <f>#N/A</f>
        <v>4.208200169357262</v>
      </c>
      <c r="J30" s="221">
        <f>#N/A</f>
        <v>-814.4200000000001</v>
      </c>
      <c r="K30" s="222">
        <f>#N/A</f>
        <v>0.6541740976645435</v>
      </c>
      <c r="L30" s="176"/>
      <c r="M30" s="176"/>
      <c r="N30" s="176"/>
      <c r="O30" s="221">
        <v>2220.25</v>
      </c>
      <c r="P30" s="221">
        <f>#N/A</f>
        <v>134.75</v>
      </c>
      <c r="Q30" s="222">
        <f>#N/A</f>
        <v>1.0606913635851818</v>
      </c>
      <c r="R30" s="221">
        <v>113.81</v>
      </c>
      <c r="S30" s="221">
        <f>#N/A</f>
        <v>1426.77</v>
      </c>
      <c r="T30" s="222">
        <f>#N/A</f>
        <v>13.536420349705649</v>
      </c>
      <c r="U30" s="206">
        <f>F30-травень!F30</f>
        <v>21</v>
      </c>
      <c r="V30" s="206">
        <f>G30-травень!G30</f>
        <v>562.04</v>
      </c>
      <c r="W30" s="221">
        <f>#N/A</f>
        <v>541.04</v>
      </c>
      <c r="X30" s="222">
        <f>#N/A</f>
        <v>26.76380952380952</v>
      </c>
      <c r="Y30" s="465">
        <f>#N/A</f>
        <v>12.475728986120467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12125.8</v>
      </c>
      <c r="G31" s="206">
        <v>12299.01</v>
      </c>
      <c r="H31" s="218">
        <f>#N/A</f>
        <v>173.21000000000095</v>
      </c>
      <c r="I31" s="220">
        <f>#N/A</f>
        <v>1.0142844183476556</v>
      </c>
      <c r="J31" s="221">
        <f>#N/A</f>
        <v>-12607.99</v>
      </c>
      <c r="K31" s="222">
        <f>#N/A</f>
        <v>0.4937973260529169</v>
      </c>
      <c r="L31" s="176"/>
      <c r="M31" s="176"/>
      <c r="N31" s="176"/>
      <c r="O31" s="221">
        <v>21681.03</v>
      </c>
      <c r="P31" s="221">
        <f>#N/A</f>
        <v>3225.970000000001</v>
      </c>
      <c r="Q31" s="222">
        <f>#N/A</f>
        <v>1.148792285237371</v>
      </c>
      <c r="R31" s="221">
        <v>10758.45</v>
      </c>
      <c r="S31" s="221">
        <f>#N/A</f>
        <v>1540.5599999999995</v>
      </c>
      <c r="T31" s="222">
        <f>#N/A</f>
        <v>1.1431953487723603</v>
      </c>
      <c r="U31" s="206">
        <f>F31-травень!F31</f>
        <v>900</v>
      </c>
      <c r="V31" s="206">
        <f>G31-травень!G31</f>
        <v>753.6499999999996</v>
      </c>
      <c r="W31" s="221"/>
      <c r="X31" s="222">
        <f>#N/A</f>
        <v>0.8373888888888885</v>
      </c>
      <c r="Y31" s="465">
        <f>#N/A</f>
        <v>-0.0055969364650108044</v>
      </c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175.03</v>
      </c>
      <c r="G32" s="120">
        <v>624.63</v>
      </c>
      <c r="H32" s="170">
        <f>#N/A</f>
        <v>449.6</v>
      </c>
      <c r="I32" s="211">
        <f>#N/A</f>
        <v>3.5687025081414614</v>
      </c>
      <c r="J32" s="171">
        <f>#N/A</f>
        <v>342.63</v>
      </c>
      <c r="K32" s="180">
        <f>#N/A</f>
        <v>2.215</v>
      </c>
      <c r="L32" s="171"/>
      <c r="M32" s="171"/>
      <c r="N32" s="171"/>
      <c r="O32" s="171">
        <v>645.26</v>
      </c>
      <c r="P32" s="171">
        <f>#N/A</f>
        <v>-363.26</v>
      </c>
      <c r="Q32" s="180">
        <f>#N/A</f>
        <v>0.43703313393050863</v>
      </c>
      <c r="R32" s="121">
        <v>-89.23</v>
      </c>
      <c r="S32" s="121">
        <f>#N/A</f>
        <v>713.86</v>
      </c>
      <c r="T32" s="150">
        <f>#N/A</f>
        <v>-7.000224139863274</v>
      </c>
      <c r="U32" s="136">
        <f>F32-травень!F32</f>
        <v>1</v>
      </c>
      <c r="V32" s="124">
        <f>G32-травень!G32</f>
        <v>99.91999999999996</v>
      </c>
      <c r="W32" s="116">
        <f>#N/A</f>
        <v>98.91999999999996</v>
      </c>
      <c r="X32" s="180">
        <f>#N/A</f>
        <v>99.91999999999996</v>
      </c>
      <c r="Y32" s="198">
        <f>#N/A</f>
        <v>-7.437257273793783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259.57</v>
      </c>
      <c r="H33" s="71">
        <f>#N/A</f>
        <v>231.72</v>
      </c>
      <c r="I33" s="209">
        <f>#N/A</f>
        <v>9.32028725314183</v>
      </c>
      <c r="J33" s="72">
        <f>#N/A</f>
        <v>159.57</v>
      </c>
      <c r="K33" s="75">
        <f>#N/A</f>
        <v>2.5957</v>
      </c>
      <c r="L33" s="72"/>
      <c r="M33" s="72"/>
      <c r="N33" s="72"/>
      <c r="O33" s="72">
        <v>241.36</v>
      </c>
      <c r="P33" s="72">
        <f>#N/A</f>
        <v>-141.36</v>
      </c>
      <c r="Q33" s="75">
        <f>#N/A</f>
        <v>0.41431885979449784</v>
      </c>
      <c r="R33" s="72">
        <v>-243.4</v>
      </c>
      <c r="S33" s="72">
        <f>#N/A</f>
        <v>502.97</v>
      </c>
      <c r="T33" s="75">
        <f>#N/A</f>
        <v>-1.0664338537387017</v>
      </c>
      <c r="U33" s="73">
        <f>F33-травень!F33</f>
        <v>0</v>
      </c>
      <c r="V33" s="98">
        <f>G33-травень!G33</f>
        <v>81</v>
      </c>
      <c r="W33" s="74">
        <f>#N/A</f>
        <v>81</v>
      </c>
      <c r="X33" s="75" t="e">
        <f>#N/A</f>
        <v>#DIV/0!</v>
      </c>
      <c r="Y33" s="465">
        <f>#N/A</f>
        <v>-1.4807527135331995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147.18</v>
      </c>
      <c r="G34" s="94">
        <v>365.06</v>
      </c>
      <c r="H34" s="71">
        <f>#N/A</f>
        <v>217.88</v>
      </c>
      <c r="I34" s="209">
        <f>#N/A</f>
        <v>2.480364179915749</v>
      </c>
      <c r="J34" s="72">
        <f>#N/A</f>
        <v>183.06</v>
      </c>
      <c r="K34" s="75">
        <f>#N/A</f>
        <v>2.0058241758241757</v>
      </c>
      <c r="L34" s="72"/>
      <c r="M34" s="72"/>
      <c r="N34" s="72"/>
      <c r="O34" s="72">
        <v>403.91</v>
      </c>
      <c r="P34" s="72">
        <f>#N/A</f>
        <v>-221.91000000000003</v>
      </c>
      <c r="Q34" s="75">
        <f>#N/A</f>
        <v>0.45059542967492755</v>
      </c>
      <c r="R34" s="72">
        <v>154.17</v>
      </c>
      <c r="S34" s="72">
        <f>#N/A</f>
        <v>210.89000000000001</v>
      </c>
      <c r="T34" s="75">
        <f>#N/A</f>
        <v>2.367905558798729</v>
      </c>
      <c r="U34" s="73">
        <f>F34-травень!F34</f>
        <v>1</v>
      </c>
      <c r="V34" s="98">
        <f>G34-травень!G34</f>
        <v>18.920000000000016</v>
      </c>
      <c r="W34" s="74"/>
      <c r="X34" s="75">
        <f>#N/A</f>
        <v>18.920000000000016</v>
      </c>
      <c r="Y34" s="465">
        <f>#N/A</f>
        <v>1.9173101291238015</v>
      </c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89615.48000000001</v>
      </c>
      <c r="G35" s="120">
        <v>99595.67</v>
      </c>
      <c r="H35" s="102">
        <f>#N/A</f>
        <v>9980.189999999988</v>
      </c>
      <c r="I35" s="211">
        <f>#N/A</f>
        <v>1.111366808502281</v>
      </c>
      <c r="J35" s="171">
        <f>#N/A</f>
        <v>-88180.33</v>
      </c>
      <c r="K35" s="180">
        <f>#N/A</f>
        <v>0.5303961635139741</v>
      </c>
      <c r="L35" s="171"/>
      <c r="M35" s="171"/>
      <c r="N35" s="171"/>
      <c r="O35" s="171">
        <v>181171.61</v>
      </c>
      <c r="P35" s="171">
        <f>#N/A</f>
        <v>6604.390000000014</v>
      </c>
      <c r="Q35" s="180">
        <f>#N/A</f>
        <v>1.0364537799272193</v>
      </c>
      <c r="R35" s="122">
        <v>88397.37</v>
      </c>
      <c r="S35" s="122">
        <f>#N/A</f>
        <v>11198.300000000003</v>
      </c>
      <c r="T35" s="149">
        <f>#N/A</f>
        <v>1.1266813707240386</v>
      </c>
      <c r="U35" s="136">
        <f>F35-травень!F35</f>
        <v>15950</v>
      </c>
      <c r="V35" s="124">
        <f>G35-травень!G35</f>
        <v>14324.699999999997</v>
      </c>
      <c r="W35" s="116">
        <f>#N/A</f>
        <v>-1625.300000000003</v>
      </c>
      <c r="X35" s="180">
        <f>#N/A</f>
        <v>0.8981003134796236</v>
      </c>
      <c r="Y35" s="198">
        <f>#N/A</f>
        <v>0.0902275907968193</v>
      </c>
    </row>
    <row r="36" spans="1:25" s="6" customFormat="1" ht="18" customHeight="1">
      <c r="A36" s="8"/>
      <c r="B36" s="137" t="s">
        <v>94</v>
      </c>
      <c r="C36" s="138"/>
      <c r="D36" s="245">
        <f>D38+D40</f>
        <v>60690</v>
      </c>
      <c r="E36" s="139">
        <f>#N/A</f>
        <v>60690</v>
      </c>
      <c r="F36" s="139">
        <f>#N/A</f>
        <v>29519.230000000003</v>
      </c>
      <c r="G36" s="139">
        <f>G38+G40</f>
        <v>38629.18</v>
      </c>
      <c r="H36" s="158">
        <f>#N/A</f>
        <v>9109.949999999997</v>
      </c>
      <c r="I36" s="212">
        <f>#N/A</f>
        <v>1.3086106920810603</v>
      </c>
      <c r="J36" s="176">
        <f>#N/A</f>
        <v>-22060.82</v>
      </c>
      <c r="K36" s="191">
        <f>#N/A</f>
        <v>0.6364999176141045</v>
      </c>
      <c r="L36" s="176"/>
      <c r="M36" s="176"/>
      <c r="N36" s="176"/>
      <c r="O36" s="176">
        <f>O38+O40</f>
        <v>58608.68</v>
      </c>
      <c r="P36" s="176">
        <f>#N/A</f>
        <v>2081.3199999999997</v>
      </c>
      <c r="Q36" s="191">
        <f>#N/A</f>
        <v>1.0355121459824723</v>
      </c>
      <c r="R36" s="140">
        <f>R38+R40</f>
        <v>30657.95</v>
      </c>
      <c r="S36" s="140">
        <f>#N/A</f>
        <v>7971.23</v>
      </c>
      <c r="T36" s="162">
        <f>#N/A</f>
        <v>1.2600053167286136</v>
      </c>
      <c r="U36" s="167">
        <f>F36-травень!F36</f>
        <v>5240</v>
      </c>
      <c r="V36" s="167">
        <f>G36-травень!G36</f>
        <v>4224.770000000004</v>
      </c>
      <c r="W36" s="176">
        <f>#N/A</f>
        <v>-1015.2299999999959</v>
      </c>
      <c r="X36" s="191">
        <f>#N/A</f>
        <v>80.62538167938939</v>
      </c>
      <c r="Y36" s="197">
        <f>#N/A</f>
        <v>0.22449317074614128</v>
      </c>
    </row>
    <row r="37" spans="1:25" s="6" customFormat="1" ht="18" customHeight="1">
      <c r="A37" s="8"/>
      <c r="B37" s="137" t="s">
        <v>95</v>
      </c>
      <c r="C37" s="138"/>
      <c r="D37" s="245">
        <f>D39+D41</f>
        <v>127086</v>
      </c>
      <c r="E37" s="139">
        <f>#N/A</f>
        <v>127086</v>
      </c>
      <c r="F37" s="139">
        <f>#N/A</f>
        <v>60096.25</v>
      </c>
      <c r="G37" s="139">
        <f>#N/A</f>
        <v>60966.479999999996</v>
      </c>
      <c r="H37" s="158">
        <f>#N/A</f>
        <v>870.2299999999959</v>
      </c>
      <c r="I37" s="212">
        <f>#N/A</f>
        <v>1.0144806040310335</v>
      </c>
      <c r="J37" s="176">
        <f>#N/A</f>
        <v>-66119.52</v>
      </c>
      <c r="K37" s="191">
        <f>#N/A</f>
        <v>0.4797261696803739</v>
      </c>
      <c r="L37" s="176"/>
      <c r="M37" s="176"/>
      <c r="N37" s="176"/>
      <c r="O37" s="176">
        <f>O39+O41</f>
        <v>122562.93000000001</v>
      </c>
      <c r="P37" s="176">
        <f>#N/A</f>
        <v>4523.069999999992</v>
      </c>
      <c r="Q37" s="191">
        <f>#N/A</f>
        <v>1.0369040622641772</v>
      </c>
      <c r="R37" s="140">
        <f>R39+R41</f>
        <v>57739.43</v>
      </c>
      <c r="S37" s="140">
        <f>#N/A</f>
        <v>3227.0499999999956</v>
      </c>
      <c r="T37" s="162">
        <f>#N/A</f>
        <v>1.0558898832219161</v>
      </c>
      <c r="U37" s="167">
        <f>F37-травень!F37</f>
        <v>10710</v>
      </c>
      <c r="V37" s="167">
        <f>G37-травень!G37</f>
        <v>10099.919999999998</v>
      </c>
      <c r="W37" s="176">
        <f>#N/A</f>
        <v>-610.0800000000017</v>
      </c>
      <c r="X37" s="191">
        <f>V37/U37</f>
        <v>0.9430364145658262</v>
      </c>
      <c r="Y37" s="197">
        <f>#N/A</f>
        <v>0.01898582095773893</v>
      </c>
    </row>
    <row r="38" spans="1:25" s="6" customFormat="1" ht="18" customHeight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28084.4</v>
      </c>
      <c r="G38" s="206">
        <v>37695.58</v>
      </c>
      <c r="H38" s="218">
        <f>#N/A</f>
        <v>9611.18</v>
      </c>
      <c r="I38" s="220">
        <f>#N/A</f>
        <v>1.342224865049636</v>
      </c>
      <c r="J38" s="221">
        <f>#N/A</f>
        <v>-19594.42</v>
      </c>
      <c r="K38" s="222">
        <f>#N/A</f>
        <v>0.657978355733985</v>
      </c>
      <c r="L38" s="176"/>
      <c r="M38" s="176"/>
      <c r="N38" s="176"/>
      <c r="O38" s="221">
        <v>55246.24</v>
      </c>
      <c r="P38" s="221">
        <f>#N/A</f>
        <v>2043.760000000002</v>
      </c>
      <c r="Q38" s="222">
        <f>#N/A</f>
        <v>1.0369936487985427</v>
      </c>
      <c r="R38" s="221">
        <v>29331.06</v>
      </c>
      <c r="S38" s="221">
        <f>#N/A</f>
        <v>8364.52</v>
      </c>
      <c r="T38" s="222">
        <f>#N/A</f>
        <v>1.285176192063976</v>
      </c>
      <c r="U38" s="206">
        <f>F38-травень!F38</f>
        <v>4900</v>
      </c>
      <c r="V38" s="206">
        <f>G38-травень!G38</f>
        <v>3906.550000000003</v>
      </c>
      <c r="W38" s="221">
        <f>#N/A</f>
        <v>-993.4499999999971</v>
      </c>
      <c r="X38" s="222">
        <f>#N/A</f>
        <v>79.7255102040817</v>
      </c>
      <c r="Y38" s="465">
        <f>#N/A</f>
        <v>0.2481825432654332</v>
      </c>
    </row>
    <row r="39" spans="1:25" s="6" customFormat="1" ht="18" customHeight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50193.45</v>
      </c>
      <c r="G39" s="206">
        <v>51152.25</v>
      </c>
      <c r="H39" s="218">
        <f>#N/A</f>
        <v>958.8000000000029</v>
      </c>
      <c r="I39" s="220">
        <f>#N/A</f>
        <v>1.0191020939983206</v>
      </c>
      <c r="J39" s="221">
        <f>#N/A</f>
        <v>-54833.75</v>
      </c>
      <c r="K39" s="222">
        <f>#N/A</f>
        <v>0.48263214009397465</v>
      </c>
      <c r="L39" s="176"/>
      <c r="M39" s="176"/>
      <c r="N39" s="176"/>
      <c r="O39" s="221">
        <v>102196.35</v>
      </c>
      <c r="P39" s="221">
        <f>#N/A</f>
        <v>3789.649999999994</v>
      </c>
      <c r="Q39" s="222">
        <f>#N/A</f>
        <v>1.0370820484293226</v>
      </c>
      <c r="R39" s="221">
        <v>48085.43</v>
      </c>
      <c r="S39" s="221">
        <f>#N/A</f>
        <v>3066.8199999999997</v>
      </c>
      <c r="T39" s="222">
        <f>#N/A</f>
        <v>1.0637785707645746</v>
      </c>
      <c r="U39" s="206">
        <f>F39-травень!F39</f>
        <v>8600</v>
      </c>
      <c r="V39" s="206">
        <f>G39-травень!G39</f>
        <v>8276.849999999999</v>
      </c>
      <c r="W39" s="221">
        <f>#N/A</f>
        <v>-323.15000000000146</v>
      </c>
      <c r="X39" s="222">
        <f>#N/A</f>
        <v>96.2424418604651</v>
      </c>
      <c r="Y39" s="465">
        <f>#N/A</f>
        <v>0.026696522335251993</v>
      </c>
    </row>
    <row r="40" spans="1:25" s="6" customFormat="1" ht="18" customHeight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1434.83</v>
      </c>
      <c r="G40" s="206">
        <v>933.6</v>
      </c>
      <c r="H40" s="218">
        <f>#N/A</f>
        <v>-501.2299999999999</v>
      </c>
      <c r="I40" s="220">
        <f>#N/A</f>
        <v>0.6506694172828837</v>
      </c>
      <c r="J40" s="221">
        <f>#N/A</f>
        <v>-2466.4</v>
      </c>
      <c r="K40" s="222">
        <f>#N/A</f>
        <v>0.27458823529411763</v>
      </c>
      <c r="L40" s="176"/>
      <c r="M40" s="176"/>
      <c r="N40" s="176"/>
      <c r="O40" s="221">
        <v>3362.44</v>
      </c>
      <c r="P40" s="221">
        <f>#N/A</f>
        <v>37.559999999999945</v>
      </c>
      <c r="Q40" s="222">
        <f>#N/A</f>
        <v>1.0111704595472335</v>
      </c>
      <c r="R40" s="221">
        <v>1326.89</v>
      </c>
      <c r="S40" s="221">
        <f>#N/A</f>
        <v>-393.2900000000001</v>
      </c>
      <c r="T40" s="222">
        <f>#N/A</f>
        <v>0.7036001477138271</v>
      </c>
      <c r="U40" s="206">
        <f>F40-травень!F40</f>
        <v>340</v>
      </c>
      <c r="V40" s="206">
        <f>G40-травень!G40</f>
        <v>318.22</v>
      </c>
      <c r="W40" s="221">
        <f>#N/A</f>
        <v>-21.779999999999973</v>
      </c>
      <c r="X40" s="222">
        <f>#N/A</f>
        <v>93.59411764705882</v>
      </c>
      <c r="Y40" s="465">
        <f>#N/A</f>
        <v>-0.30757031183340644</v>
      </c>
    </row>
    <row r="41" spans="1:25" s="6" customFormat="1" ht="18" customHeight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9902.8</v>
      </c>
      <c r="G41" s="206">
        <v>9814.23</v>
      </c>
      <c r="H41" s="218">
        <f>#N/A</f>
        <v>-88.56999999999971</v>
      </c>
      <c r="I41" s="220">
        <f>#N/A</f>
        <v>0.9910560649513269</v>
      </c>
      <c r="J41" s="221">
        <f>#N/A</f>
        <v>-11285.77</v>
      </c>
      <c r="K41" s="222">
        <f>#N/A</f>
        <v>0.4651293838862559</v>
      </c>
      <c r="L41" s="176"/>
      <c r="M41" s="176"/>
      <c r="N41" s="176"/>
      <c r="O41" s="221">
        <v>20366.58</v>
      </c>
      <c r="P41" s="221">
        <f>#N/A</f>
        <v>733.4199999999983</v>
      </c>
      <c r="Q41" s="222">
        <f>#N/A</f>
        <v>1.0360109552021006</v>
      </c>
      <c r="R41" s="221">
        <v>9654</v>
      </c>
      <c r="S41" s="221">
        <f>#N/A</f>
        <v>160.22999999999956</v>
      </c>
      <c r="T41" s="222">
        <f>#N/A</f>
        <v>1.0165972653822248</v>
      </c>
      <c r="U41" s="206">
        <f>F41-травень!F41</f>
        <v>2109.999999999999</v>
      </c>
      <c r="V41" s="206">
        <f>G41-травень!G41</f>
        <v>1823.0699999999997</v>
      </c>
      <c r="W41" s="221">
        <f>#N/A</f>
        <v>-286.9299999999994</v>
      </c>
      <c r="X41" s="222">
        <f>#N/A</f>
        <v>86.40142180094789</v>
      </c>
      <c r="Y41" s="465">
        <f>#N/A</f>
        <v>-0.01941368981987579</v>
      </c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v>0</v>
      </c>
      <c r="G42" s="139">
        <v>0</v>
      </c>
      <c r="H42" s="102">
        <f>#N/A</f>
        <v>0</v>
      </c>
      <c r="I42" s="208"/>
      <c r="J42" s="108">
        <f>#N/A</f>
        <v>0</v>
      </c>
      <c r="K42" s="108"/>
      <c r="L42" s="108"/>
      <c r="M42" s="108"/>
      <c r="N42" s="108"/>
      <c r="O42" s="108">
        <v>0.2</v>
      </c>
      <c r="P42" s="108">
        <f>#N/A</f>
        <v>-0.2</v>
      </c>
      <c r="Q42" s="148">
        <f>#N/A</f>
        <v>0</v>
      </c>
      <c r="R42" s="117">
        <v>0.2</v>
      </c>
      <c r="S42" s="108">
        <f>#N/A</f>
        <v>-0.2</v>
      </c>
      <c r="T42" s="148"/>
      <c r="U42" s="107">
        <f>F42-травень!F42</f>
        <v>0</v>
      </c>
      <c r="V42" s="110">
        <f>G42-травень!G42</f>
        <v>0</v>
      </c>
      <c r="W42" s="111">
        <f>#N/A</f>
        <v>0</v>
      </c>
      <c r="X42" s="148"/>
      <c r="Y42" s="197">
        <f>#N/A</f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78.43</v>
      </c>
      <c r="G43" s="106">
        <v>90.65</v>
      </c>
      <c r="H43" s="102">
        <f>#N/A</f>
        <v>12.219999999999999</v>
      </c>
      <c r="I43" s="208">
        <f>G43/F43</f>
        <v>1.155807726635216</v>
      </c>
      <c r="J43" s="108">
        <f>#N/A</f>
        <v>-83.75</v>
      </c>
      <c r="K43" s="148">
        <f>G43/E43</f>
        <v>0.5197821100917431</v>
      </c>
      <c r="L43" s="108"/>
      <c r="M43" s="108"/>
      <c r="N43" s="108"/>
      <c r="O43" s="108">
        <v>156.82</v>
      </c>
      <c r="P43" s="108">
        <f>#N/A</f>
        <v>17.580000000000013</v>
      </c>
      <c r="Q43" s="148">
        <f>#N/A</f>
        <v>1.112103048080602</v>
      </c>
      <c r="R43" s="117">
        <v>79.23</v>
      </c>
      <c r="S43" s="108">
        <f>#N/A</f>
        <v>11.420000000000002</v>
      </c>
      <c r="T43" s="148">
        <f>#N/A</f>
        <v>1.1441373217215702</v>
      </c>
      <c r="U43" s="107">
        <f>F43-травень!F43</f>
        <v>1</v>
      </c>
      <c r="V43" s="110">
        <f>G43-травень!G43</f>
        <v>9</v>
      </c>
      <c r="W43" s="111">
        <f>#N/A</f>
        <v>8</v>
      </c>
      <c r="X43" s="148">
        <f>V43/U43</f>
        <v>9</v>
      </c>
      <c r="Y43" s="466">
        <f>#N/A</f>
        <v>0.032034273640968225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48.9</v>
      </c>
      <c r="G44" s="94">
        <v>72.74</v>
      </c>
      <c r="H44" s="71">
        <f>#N/A</f>
        <v>23.839999999999996</v>
      </c>
      <c r="I44" s="209">
        <f>G44/F44</f>
        <v>1.4875255623721881</v>
      </c>
      <c r="J44" s="72">
        <f>#N/A</f>
        <v>-28.16000000000001</v>
      </c>
      <c r="K44" s="75">
        <f>G44/E44</f>
        <v>0.7209117938553022</v>
      </c>
      <c r="L44" s="72"/>
      <c r="M44" s="72"/>
      <c r="N44" s="72"/>
      <c r="O44" s="72">
        <v>95.14</v>
      </c>
      <c r="P44" s="72">
        <f>#N/A</f>
        <v>5.760000000000005</v>
      </c>
      <c r="Q44" s="75">
        <f>#N/A</f>
        <v>1.0605423586293883</v>
      </c>
      <c r="R44" s="72">
        <v>48.26</v>
      </c>
      <c r="S44" s="72">
        <f>#N/A</f>
        <v>24.479999999999997</v>
      </c>
      <c r="T44" s="75">
        <f>#N/A</f>
        <v>1.5072523829258184</v>
      </c>
      <c r="U44" s="73">
        <f>F44-травень!F44</f>
        <v>1</v>
      </c>
      <c r="V44" s="98">
        <f>G44-травень!G44</f>
        <v>8.999999999999993</v>
      </c>
      <c r="W44" s="74">
        <f>#N/A</f>
        <v>7.999999999999993</v>
      </c>
      <c r="X44" s="75">
        <f>V44/U44</f>
        <v>8.999999999999993</v>
      </c>
      <c r="Y44" s="465">
        <f>#N/A</f>
        <v>0.44671002429643014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29.53</v>
      </c>
      <c r="G45" s="94">
        <v>17.91</v>
      </c>
      <c r="H45" s="71">
        <f>#N/A</f>
        <v>-11.620000000000001</v>
      </c>
      <c r="I45" s="209">
        <f>G45/F45</f>
        <v>0.6065018625126989</v>
      </c>
      <c r="J45" s="72">
        <f>#N/A</f>
        <v>-55.59</v>
      </c>
      <c r="K45" s="75">
        <f>G45/E45</f>
        <v>0.2436734693877551</v>
      </c>
      <c r="L45" s="72"/>
      <c r="M45" s="72"/>
      <c r="N45" s="72"/>
      <c r="O45" s="72">
        <v>61.68</v>
      </c>
      <c r="P45" s="72">
        <f>#N/A</f>
        <v>11.82</v>
      </c>
      <c r="Q45" s="75">
        <f>#N/A</f>
        <v>1.1916342412451362</v>
      </c>
      <c r="R45" s="72">
        <v>30.97</v>
      </c>
      <c r="S45" s="72">
        <f>#N/A</f>
        <v>-13.059999999999999</v>
      </c>
      <c r="T45" s="75">
        <f>#N/A</f>
        <v>0.5783015821762997</v>
      </c>
      <c r="U45" s="73">
        <f>F45-травень!F45</f>
        <v>0</v>
      </c>
      <c r="V45" s="98">
        <f>G45-травень!G45</f>
        <v>0</v>
      </c>
      <c r="W45" s="74">
        <f>#N/A</f>
        <v>0</v>
      </c>
      <c r="X45" s="75" t="e">
        <f>V45/U45</f>
        <v>#DIV/0!</v>
      </c>
      <c r="Y45" s="465">
        <f>#N/A</f>
        <v>-0.6133326590688365</v>
      </c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-21.01</v>
      </c>
      <c r="H46" s="102">
        <f>#N/A</f>
        <v>-21.01</v>
      </c>
      <c r="I46" s="208"/>
      <c r="J46" s="108">
        <f>#N/A</f>
        <v>-21.01</v>
      </c>
      <c r="K46" s="148"/>
      <c r="L46" s="108"/>
      <c r="M46" s="108"/>
      <c r="N46" s="108"/>
      <c r="O46" s="108">
        <v>-50.78</v>
      </c>
      <c r="P46" s="108">
        <f>#N/A</f>
        <v>50.78</v>
      </c>
      <c r="Q46" s="148">
        <f>#N/A</f>
        <v>0</v>
      </c>
      <c r="R46" s="108">
        <v>-31.32</v>
      </c>
      <c r="S46" s="108">
        <f>#N/A</f>
        <v>10.309999999999999</v>
      </c>
      <c r="T46" s="148">
        <f>#N/A</f>
        <v>0.6708173690932312</v>
      </c>
      <c r="U46" s="107">
        <f>F46-травень!F46</f>
        <v>0</v>
      </c>
      <c r="V46" s="110">
        <f>G46-травень!G46</f>
        <v>0</v>
      </c>
      <c r="W46" s="111">
        <f>#N/A</f>
        <v>0</v>
      </c>
      <c r="X46" s="148"/>
      <c r="Y46" s="197">
        <f>#N/A</f>
        <v>0.6708173690932312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256650.8</v>
      </c>
      <c r="F47" s="112">
        <f>F48+F49+F50+F51</f>
        <v>126256.76</v>
      </c>
      <c r="G47" s="113">
        <v>128652.5</v>
      </c>
      <c r="H47" s="102">
        <f>#N/A</f>
        <v>2395.7400000000052</v>
      </c>
      <c r="I47" s="208">
        <f>G47/F47</f>
        <v>1.018975142400296</v>
      </c>
      <c r="J47" s="108">
        <f>#N/A</f>
        <v>-127998.29999999999</v>
      </c>
      <c r="K47" s="148">
        <f>G47/E47</f>
        <v>0.5012744943713404</v>
      </c>
      <c r="L47" s="108"/>
      <c r="M47" s="108"/>
      <c r="N47" s="108"/>
      <c r="O47" s="108">
        <v>223368.23</v>
      </c>
      <c r="P47" s="108">
        <f>#N/A</f>
        <v>33282.56999999998</v>
      </c>
      <c r="Q47" s="148">
        <f>#N/A</f>
        <v>1.1490031505375673</v>
      </c>
      <c r="R47" s="123">
        <v>104362.34</v>
      </c>
      <c r="S47" s="123">
        <f>#N/A</f>
        <v>24290.160000000003</v>
      </c>
      <c r="T47" s="160">
        <f>#N/A</f>
        <v>1.2327483266473327</v>
      </c>
      <c r="U47" s="107">
        <f>F47-травень!F47</f>
        <v>8900</v>
      </c>
      <c r="V47" s="110">
        <f>G47-травень!G47</f>
        <v>9073.259999999995</v>
      </c>
      <c r="W47" s="111">
        <f>#N/A</f>
        <v>173.25999999999476</v>
      </c>
      <c r="X47" s="148">
        <f>V47/U47</f>
        <v>1.0194674157303365</v>
      </c>
      <c r="Y47" s="197">
        <f>#N/A</f>
        <v>0.0837451761097654</v>
      </c>
    </row>
    <row r="48" spans="1:25" s="6" customFormat="1" ht="15" customHeight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</v>
      </c>
      <c r="H48" s="71">
        <f>G48-F48</f>
        <v>0</v>
      </c>
      <c r="I48" s="209"/>
      <c r="J48" s="72">
        <f>#N/A</f>
        <v>0</v>
      </c>
      <c r="K48" s="75"/>
      <c r="L48" s="72"/>
      <c r="M48" s="72"/>
      <c r="N48" s="72"/>
      <c r="O48" s="72">
        <v>0.01</v>
      </c>
      <c r="P48" s="72">
        <f>#N/A</f>
        <v>-0.01</v>
      </c>
      <c r="Q48" s="75">
        <f>#N/A</f>
        <v>0</v>
      </c>
      <c r="R48" s="85">
        <v>0.01</v>
      </c>
      <c r="S48" s="85">
        <f>#N/A</f>
        <v>-0.01</v>
      </c>
      <c r="T48" s="153">
        <f>#N/A</f>
        <v>0</v>
      </c>
      <c r="U48" s="73">
        <f>F48-травень!F48</f>
        <v>0</v>
      </c>
      <c r="V48" s="98">
        <f>G48-травень!G48</f>
        <v>0</v>
      </c>
      <c r="W48" s="74">
        <f>#N/A</f>
        <v>0</v>
      </c>
      <c r="X48" s="75"/>
      <c r="Y48" s="198">
        <f>#N/A</f>
        <v>0</v>
      </c>
    </row>
    <row r="49" spans="1:25" s="6" customFormat="1" ht="15" customHeight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26883.87</v>
      </c>
      <c r="G49" s="94">
        <v>24255.43</v>
      </c>
      <c r="H49" s="71">
        <f>G49-F49</f>
        <v>-2628.4399999999987</v>
      </c>
      <c r="I49" s="209">
        <f>G49/F49</f>
        <v>0.9022298500922673</v>
      </c>
      <c r="J49" s="72">
        <f>#N/A</f>
        <v>-31459.57</v>
      </c>
      <c r="K49" s="75">
        <f>G49/E49</f>
        <v>0.4353482904065333</v>
      </c>
      <c r="L49" s="72"/>
      <c r="M49" s="72"/>
      <c r="N49" s="72"/>
      <c r="O49" s="72">
        <v>45030.34</v>
      </c>
      <c r="P49" s="72">
        <f>#N/A</f>
        <v>10684.660000000003</v>
      </c>
      <c r="Q49" s="75">
        <f>#N/A</f>
        <v>1.2372769115223203</v>
      </c>
      <c r="R49" s="85">
        <v>20288.06</v>
      </c>
      <c r="S49" s="85">
        <f>#N/A</f>
        <v>3967.369999999999</v>
      </c>
      <c r="T49" s="153">
        <f>#N/A</f>
        <v>1.195551965047422</v>
      </c>
      <c r="U49" s="73">
        <f>F49-травень!F49</f>
        <v>1400</v>
      </c>
      <c r="V49" s="98">
        <f>G49-травень!G49</f>
        <v>1132.2299999999996</v>
      </c>
      <c r="W49" s="74">
        <f>#N/A</f>
        <v>-267.77000000000044</v>
      </c>
      <c r="X49" s="75">
        <f>V49/U49</f>
        <v>0.808735714285714</v>
      </c>
      <c r="Y49" s="198">
        <f>#N/A</f>
        <v>-0.04172494647489833</v>
      </c>
    </row>
    <row r="50" spans="1:25" s="6" customFormat="1" ht="15" customHeight="1">
      <c r="A50" s="8"/>
      <c r="B50" s="41" t="s">
        <v>79</v>
      </c>
      <c r="C50" s="70">
        <v>18050400</v>
      </c>
      <c r="D50" s="230">
        <v>198755</v>
      </c>
      <c r="E50" s="71">
        <f>198755+2100</f>
        <v>200855</v>
      </c>
      <c r="F50" s="71">
        <v>99340.49</v>
      </c>
      <c r="G50" s="94">
        <v>104364.66</v>
      </c>
      <c r="H50" s="71">
        <f>G50-F50</f>
        <v>5024.169999999998</v>
      </c>
      <c r="I50" s="209">
        <f>G50/F50</f>
        <v>1.050575248823516</v>
      </c>
      <c r="J50" s="72">
        <f>#N/A</f>
        <v>-96490.34</v>
      </c>
      <c r="K50" s="75">
        <f>G50/E50</f>
        <v>0.5196020014438276</v>
      </c>
      <c r="L50" s="72"/>
      <c r="M50" s="72"/>
      <c r="N50" s="72"/>
      <c r="O50" s="72">
        <v>178270.24</v>
      </c>
      <c r="P50" s="72">
        <f>#N/A</f>
        <v>22584.76000000001</v>
      </c>
      <c r="Q50" s="75">
        <f>#N/A</f>
        <v>1.1266883356414397</v>
      </c>
      <c r="R50" s="85">
        <v>84050.77</v>
      </c>
      <c r="S50" s="85">
        <f>#N/A</f>
        <v>20313.89</v>
      </c>
      <c r="T50" s="153">
        <f>#N/A</f>
        <v>1.2416859476718654</v>
      </c>
      <c r="U50" s="73">
        <f>F50-травень!F50</f>
        <v>7500</v>
      </c>
      <c r="V50" s="98">
        <f>G50-травень!G50</f>
        <v>7941.029999999999</v>
      </c>
      <c r="W50" s="74">
        <f>#N/A</f>
        <v>441.02999999999884</v>
      </c>
      <c r="X50" s="75">
        <f>V50/U50</f>
        <v>1.0588039999999999</v>
      </c>
      <c r="Y50" s="198">
        <f>#N/A</f>
        <v>0.11499761203042569</v>
      </c>
    </row>
    <row r="51" spans="1:25" s="6" customFormat="1" ht="15" customHeight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32.4</v>
      </c>
      <c r="G51" s="94">
        <v>32.41</v>
      </c>
      <c r="H51" s="71">
        <f>G51-F51</f>
        <v>0.00999999999999801</v>
      </c>
      <c r="I51" s="209">
        <f>G51/F51</f>
        <v>1.0003086419753087</v>
      </c>
      <c r="J51" s="72">
        <f>#N/A</f>
        <v>-48.39</v>
      </c>
      <c r="K51" s="75">
        <f>G51/E51</f>
        <v>0.4011138613861386</v>
      </c>
      <c r="L51" s="72"/>
      <c r="M51" s="72"/>
      <c r="N51" s="72"/>
      <c r="O51" s="72">
        <v>67.63</v>
      </c>
      <c r="P51" s="72">
        <f>#N/A</f>
        <v>13.170000000000002</v>
      </c>
      <c r="Q51" s="75">
        <f>#N/A</f>
        <v>1.1947360638769777</v>
      </c>
      <c r="R51" s="85">
        <v>23.5</v>
      </c>
      <c r="S51" s="85">
        <f>#N/A</f>
        <v>8.909999999999997</v>
      </c>
      <c r="T51" s="153">
        <f>#N/A</f>
        <v>1.3791489361702127</v>
      </c>
      <c r="U51" s="73">
        <f>F51-травень!F51</f>
        <v>0</v>
      </c>
      <c r="V51" s="98">
        <f>G51-травень!G51</f>
        <v>0</v>
      </c>
      <c r="W51" s="74">
        <f>#N/A</f>
        <v>0</v>
      </c>
      <c r="X51" s="75"/>
      <c r="Y51" s="198">
        <f>#N/A</f>
        <v>0.184412872293235</v>
      </c>
    </row>
    <row r="52" spans="1:25" s="6" customFormat="1" ht="15" customHeight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>#N/A</f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>#N/A</f>
        <v>0</v>
      </c>
      <c r="T52" s="154"/>
      <c r="U52" s="91">
        <f>F52-травень!F52</f>
        <v>0</v>
      </c>
      <c r="V52" s="99">
        <f>G52-травень!G52</f>
        <v>0</v>
      </c>
      <c r="W52" s="117">
        <f>#N/A</f>
        <v>0</v>
      </c>
      <c r="X52" s="67"/>
      <c r="Y52" s="197">
        <f>#N/A</f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E54+E55+E56+E57+E58+E60+E62+E63+E64+E65+E66+E71+E72+E76+E59+E61+E77</f>
        <v>50248.9</v>
      </c>
      <c r="F53" s="103">
        <f>F54+F55+F56+F57+F58+F60+F62+F63+F64+F65+F66+F71+F72+F76+F59+F61+F77</f>
        <v>27615.300000000003</v>
      </c>
      <c r="G53" s="103">
        <f>G54+G55+G56+G57+G58+G60+G62+G63+G64+G65+G66+G71+G72+G76+G59+G61+G77</f>
        <v>28759.48</v>
      </c>
      <c r="H53" s="315">
        <f>#N/A</f>
        <v>1144.1799999999967</v>
      </c>
      <c r="I53" s="143">
        <f>#N/A</f>
        <v>1.0414328289028183</v>
      </c>
      <c r="J53" s="104">
        <f>G53-E53</f>
        <v>-21489.420000000002</v>
      </c>
      <c r="K53" s="156">
        <f>#N/A</f>
        <v>0.5723404890455314</v>
      </c>
      <c r="L53" s="104"/>
      <c r="M53" s="104"/>
      <c r="N53" s="104"/>
      <c r="O53" s="104">
        <v>69380.98</v>
      </c>
      <c r="P53" s="104">
        <f>E53-O53</f>
        <v>-19132.079999999994</v>
      </c>
      <c r="Q53" s="156">
        <f>E53/O53</f>
        <v>0.7242460397647886</v>
      </c>
      <c r="R53" s="173">
        <v>34058.47</v>
      </c>
      <c r="S53" s="103">
        <f>#N/A</f>
        <v>-5298.990000000002</v>
      </c>
      <c r="T53" s="143">
        <f>G53/R53</f>
        <v>0.844414913529586</v>
      </c>
      <c r="U53" s="103">
        <f>U54+U55+U56+U57+U58+U60+U62+U63+U64+U65+U66+U71+U72+U76+U59+U61+U77</f>
        <v>4223.5</v>
      </c>
      <c r="V53" s="103">
        <f>V54+V55+V56+V57+V58+V60+V62+V63+V64+V65+V66+V71+V72+V76+V59+V61+V77</f>
        <v>4692.1</v>
      </c>
      <c r="W53" s="467">
        <f>#N/A</f>
        <v>468.60000000000036</v>
      </c>
      <c r="X53" s="143">
        <f>V53/U53</f>
        <v>1.1109506333609567</v>
      </c>
      <c r="Y53" s="197">
        <f>#N/A</f>
        <v>0.12016887376479735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f>1106.11+1543.89</f>
        <v>2650</v>
      </c>
      <c r="G54" s="106">
        <v>2727.45</v>
      </c>
      <c r="H54" s="102">
        <f>#N/A</f>
        <v>77.44999999999982</v>
      </c>
      <c r="I54" s="213">
        <f>#N/A</f>
        <v>1.0292264150943395</v>
      </c>
      <c r="J54" s="115">
        <f>G54-E54</f>
        <v>77.44999999999982</v>
      </c>
      <c r="K54" s="155">
        <f>#N/A</f>
        <v>1.0292264150943395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2204.77</v>
      </c>
      <c r="S54" s="115">
        <f>#N/A</f>
        <v>522.6799999999998</v>
      </c>
      <c r="T54" s="155">
        <f>G54/R54</f>
        <v>1.237067812062029</v>
      </c>
      <c r="U54" s="107">
        <f>F54-травень!F54</f>
        <v>0</v>
      </c>
      <c r="V54" s="110">
        <f>G54-травень!G54</f>
        <v>0</v>
      </c>
      <c r="W54" s="111">
        <f>#N/A</f>
        <v>0</v>
      </c>
      <c r="X54" s="155" t="e">
        <f>V54/U54</f>
        <v>#DIV/0!</v>
      </c>
      <c r="Y54" s="197">
        <f>#N/A</f>
        <v>0.23097812201358492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f>5000+2000</f>
        <v>7000</v>
      </c>
      <c r="F55" s="102">
        <v>4000.08</v>
      </c>
      <c r="G55" s="106">
        <v>4798.61</v>
      </c>
      <c r="H55" s="102">
        <f>#N/A</f>
        <v>798.5299999999997</v>
      </c>
      <c r="I55" s="213">
        <f>#N/A</f>
        <v>1.1996285074298514</v>
      </c>
      <c r="J55" s="115">
        <f>#N/A</f>
        <v>-2201.3900000000003</v>
      </c>
      <c r="K55" s="155">
        <f>#N/A</f>
        <v>0.6855157142857142</v>
      </c>
      <c r="L55" s="115"/>
      <c r="M55" s="115"/>
      <c r="N55" s="115"/>
      <c r="O55" s="115">
        <v>27997.6</v>
      </c>
      <c r="P55" s="115">
        <f>#N/A</f>
        <v>-20997.6</v>
      </c>
      <c r="Q55" s="155">
        <f>#N/A</f>
        <v>0.2500214304083207</v>
      </c>
      <c r="R55" s="115">
        <v>13353.64</v>
      </c>
      <c r="S55" s="115">
        <f>#N/A</f>
        <v>-8555.029999999999</v>
      </c>
      <c r="T55" s="155">
        <f>#N/A</f>
        <v>0.3593484622919294</v>
      </c>
      <c r="U55" s="107">
        <f>F55-травень!F55</f>
        <v>700</v>
      </c>
      <c r="V55" s="110">
        <f>G55-травень!G55</f>
        <v>1432.2399999999998</v>
      </c>
      <c r="W55" s="111">
        <f>#N/A</f>
        <v>732.2399999999998</v>
      </c>
      <c r="X55" s="155">
        <f>#N/A</f>
        <v>2.0460571428571424</v>
      </c>
      <c r="Y55" s="197">
        <f>#N/A</f>
        <v>0.1093270318836087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70</v>
      </c>
      <c r="G56" s="106">
        <v>51.82</v>
      </c>
      <c r="H56" s="102">
        <f>#N/A</f>
        <v>-18.18</v>
      </c>
      <c r="I56" s="213">
        <f>#N/A</f>
        <v>0.7402857142857143</v>
      </c>
      <c r="J56" s="115">
        <f>#N/A</f>
        <v>-106.18</v>
      </c>
      <c r="K56" s="155">
        <f>#N/A</f>
        <v>0.3279746835443038</v>
      </c>
      <c r="L56" s="115"/>
      <c r="M56" s="115"/>
      <c r="N56" s="115"/>
      <c r="O56" s="115">
        <v>153.3</v>
      </c>
      <c r="P56" s="115">
        <f>#N/A</f>
        <v>4.699999999999989</v>
      </c>
      <c r="Q56" s="155">
        <f>#N/A</f>
        <v>1.030658838878017</v>
      </c>
      <c r="R56" s="117">
        <v>102.8</v>
      </c>
      <c r="S56" s="115">
        <f>#N/A</f>
        <v>-50.98</v>
      </c>
      <c r="T56" s="155">
        <f>#N/A</f>
        <v>0.5040856031128405</v>
      </c>
      <c r="U56" s="107">
        <f>F56-травень!F56</f>
        <v>14</v>
      </c>
      <c r="V56" s="110">
        <f>G56-травень!G56</f>
        <v>0</v>
      </c>
      <c r="W56" s="111">
        <f>#N/A</f>
        <v>-14</v>
      </c>
      <c r="X56" s="155">
        <f>#N/A</f>
        <v>0</v>
      </c>
      <c r="Y56" s="197">
        <f>#N/A</f>
        <v>-0.5265732357651765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7</v>
      </c>
      <c r="G57" s="106">
        <v>2.1</v>
      </c>
      <c r="H57" s="102">
        <f>#N/A</f>
        <v>-4.9</v>
      </c>
      <c r="I57" s="213">
        <f>#N/A</f>
        <v>0.3</v>
      </c>
      <c r="J57" s="115">
        <f>#N/A</f>
        <v>-10.9</v>
      </c>
      <c r="K57" s="155">
        <f>#N/A</f>
        <v>0.16153846153846155</v>
      </c>
      <c r="L57" s="115"/>
      <c r="M57" s="115"/>
      <c r="N57" s="115"/>
      <c r="O57" s="115">
        <v>12.95</v>
      </c>
      <c r="P57" s="115">
        <f>#N/A</f>
        <v>0.05000000000000071</v>
      </c>
      <c r="Q57" s="225">
        <f>#N/A</f>
        <v>1.0038610038610039</v>
      </c>
      <c r="R57" s="115">
        <v>2.03</v>
      </c>
      <c r="S57" s="115">
        <f>#N/A</f>
        <v>0.07000000000000028</v>
      </c>
      <c r="T57" s="155"/>
      <c r="U57" s="107">
        <f>F57-травень!F57</f>
        <v>1</v>
      </c>
      <c r="V57" s="110">
        <f>G57-травень!G57</f>
        <v>0.08000000000000007</v>
      </c>
      <c r="W57" s="111">
        <f>#N/A</f>
        <v>-0.9199999999999999</v>
      </c>
      <c r="X57" s="155">
        <f>#N/A</f>
        <v>0.08000000000000007</v>
      </c>
      <c r="Y57" s="197">
        <f>#N/A</f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328.43</v>
      </c>
      <c r="G58" s="106">
        <v>643.5</v>
      </c>
      <c r="H58" s="102">
        <f>#N/A</f>
        <v>315.07</v>
      </c>
      <c r="I58" s="213">
        <f>#N/A</f>
        <v>1.9593216210455804</v>
      </c>
      <c r="J58" s="115">
        <f>#N/A</f>
        <v>-100.5</v>
      </c>
      <c r="K58" s="155">
        <f>#N/A</f>
        <v>0.8649193548387096</v>
      </c>
      <c r="L58" s="115"/>
      <c r="M58" s="115"/>
      <c r="N58" s="115"/>
      <c r="O58" s="115">
        <v>705.31</v>
      </c>
      <c r="P58" s="115">
        <f>#N/A</f>
        <v>38.690000000000055</v>
      </c>
      <c r="Q58" s="155">
        <f>#N/A</f>
        <v>1.0548553118486907</v>
      </c>
      <c r="R58" s="115">
        <v>501.53</v>
      </c>
      <c r="S58" s="115">
        <f>#N/A</f>
        <v>141.97000000000003</v>
      </c>
      <c r="T58" s="155">
        <f>#N/A</f>
        <v>1.2830737941897794</v>
      </c>
      <c r="U58" s="107">
        <f>F58-травень!F58</f>
        <v>60</v>
      </c>
      <c r="V58" s="110">
        <f>G58-травень!G58</f>
        <v>98.72000000000003</v>
      </c>
      <c r="W58" s="111">
        <f>#N/A</f>
        <v>38.72000000000003</v>
      </c>
      <c r="X58" s="155">
        <f>#N/A</f>
        <v>1.6453333333333338</v>
      </c>
      <c r="Y58" s="197">
        <f>#N/A</f>
        <v>0.22821848234108866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50</v>
      </c>
      <c r="G59" s="106">
        <v>117</v>
      </c>
      <c r="H59" s="102">
        <f>#N/A</f>
        <v>67</v>
      </c>
      <c r="I59" s="213">
        <f>#N/A</f>
        <v>2.34</v>
      </c>
      <c r="J59" s="115">
        <f>#N/A</f>
        <v>1.5</v>
      </c>
      <c r="K59" s="155">
        <f>#N/A</f>
        <v>1.0129870129870129</v>
      </c>
      <c r="L59" s="115"/>
      <c r="M59" s="115"/>
      <c r="N59" s="115"/>
      <c r="O59" s="115">
        <v>114.3</v>
      </c>
      <c r="P59" s="115">
        <f>#N/A</f>
        <v>1.2000000000000028</v>
      </c>
      <c r="Q59" s="155">
        <f>#N/A</f>
        <v>1.010498687664042</v>
      </c>
      <c r="R59" s="115">
        <v>71.01</v>
      </c>
      <c r="S59" s="115">
        <f>#N/A</f>
        <v>45.989999999999995</v>
      </c>
      <c r="T59" s="155">
        <f>#N/A</f>
        <v>1.64765525982256</v>
      </c>
      <c r="U59" s="107">
        <f>F59-травень!F59</f>
        <v>10</v>
      </c>
      <c r="V59" s="110">
        <f>G59-травень!G59</f>
        <v>68.82</v>
      </c>
      <c r="W59" s="111">
        <f>#N/A</f>
        <v>58.81999999999999</v>
      </c>
      <c r="X59" s="155">
        <f>#N/A</f>
        <v>6.882</v>
      </c>
      <c r="Y59" s="197">
        <f>#N/A</f>
        <v>0.637156572158518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614</v>
      </c>
      <c r="G60" s="106">
        <v>568.32</v>
      </c>
      <c r="H60" s="102">
        <f>#N/A</f>
        <v>-45.67999999999995</v>
      </c>
      <c r="I60" s="213">
        <f>#N/A</f>
        <v>0.9256026058631923</v>
      </c>
      <c r="J60" s="115">
        <f>#N/A</f>
        <v>-715.68</v>
      </c>
      <c r="K60" s="155">
        <f>#N/A</f>
        <v>0.4426168224299066</v>
      </c>
      <c r="L60" s="115"/>
      <c r="M60" s="115"/>
      <c r="N60" s="115"/>
      <c r="O60" s="115">
        <v>1205.14</v>
      </c>
      <c r="P60" s="115">
        <f>#N/A</f>
        <v>78.8599999999999</v>
      </c>
      <c r="Q60" s="155">
        <f>#N/A</f>
        <v>1.0654363808354215</v>
      </c>
      <c r="R60" s="115">
        <v>628.92</v>
      </c>
      <c r="S60" s="115">
        <f>#N/A</f>
        <v>-60.59999999999991</v>
      </c>
      <c r="T60" s="155">
        <f>#N/A</f>
        <v>0.9036443426826943</v>
      </c>
      <c r="U60" s="107">
        <f>F60-травень!F60</f>
        <v>116</v>
      </c>
      <c r="V60" s="110">
        <f>G60-травень!G60</f>
        <v>94.56000000000006</v>
      </c>
      <c r="W60" s="111">
        <f>#N/A</f>
        <v>-21.43999999999994</v>
      </c>
      <c r="X60" s="155">
        <f>#N/A</f>
        <v>0.815172413793104</v>
      </c>
      <c r="Y60" s="197">
        <f>#N/A</f>
        <v>-0.16179203815272714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>#N/A</f>
        <v>0</v>
      </c>
      <c r="I61" s="213" t="e">
        <f>#N/A</f>
        <v>#DIV/0!</v>
      </c>
      <c r="J61" s="115">
        <f>#N/A</f>
        <v>0</v>
      </c>
      <c r="K61" s="155" t="e">
        <f>#N/A</f>
        <v>#DIV/0!</v>
      </c>
      <c r="L61" s="115"/>
      <c r="M61" s="115"/>
      <c r="N61" s="115"/>
      <c r="O61" s="115">
        <v>23.38</v>
      </c>
      <c r="P61" s="115">
        <f>#N/A</f>
        <v>-23.38</v>
      </c>
      <c r="Q61" s="155">
        <f>#N/A</f>
        <v>0</v>
      </c>
      <c r="R61" s="115">
        <v>0.69</v>
      </c>
      <c r="S61" s="115">
        <f>#N/A</f>
        <v>-0.69</v>
      </c>
      <c r="T61" s="155"/>
      <c r="U61" s="107">
        <f>F61-травень!F61</f>
        <v>0</v>
      </c>
      <c r="V61" s="110">
        <f>G61-травень!G61</f>
        <v>0</v>
      </c>
      <c r="W61" s="111">
        <f>#N/A</f>
        <v>0</v>
      </c>
      <c r="X61" s="155" t="e">
        <f>#N/A</f>
        <v>#DIV/0!</v>
      </c>
      <c r="Y61" s="197">
        <f>#N/A</f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f>21260+1000</f>
        <v>22260</v>
      </c>
      <c r="F62" s="102">
        <v>12090</v>
      </c>
      <c r="G62" s="106">
        <v>12308.49</v>
      </c>
      <c r="H62" s="102">
        <f>#N/A</f>
        <v>218.48999999999978</v>
      </c>
      <c r="I62" s="213">
        <f>#N/A</f>
        <v>1.0180719602977668</v>
      </c>
      <c r="J62" s="115">
        <f>#N/A</f>
        <v>-9951.51</v>
      </c>
      <c r="K62" s="155">
        <f>#N/A</f>
        <v>0.5529420485175202</v>
      </c>
      <c r="L62" s="115"/>
      <c r="M62" s="115"/>
      <c r="N62" s="115"/>
      <c r="O62" s="115">
        <v>20110.14</v>
      </c>
      <c r="P62" s="115">
        <f>#N/A</f>
        <v>2149.8600000000006</v>
      </c>
      <c r="Q62" s="155">
        <f>#N/A</f>
        <v>1.1069042781402816</v>
      </c>
      <c r="R62" s="115">
        <v>8364.31</v>
      </c>
      <c r="S62" s="115">
        <f>#N/A</f>
        <v>3944.1800000000003</v>
      </c>
      <c r="T62" s="155">
        <f>#N/A</f>
        <v>1.4715487589532192</v>
      </c>
      <c r="U62" s="107">
        <f>F62-травень!F62</f>
        <v>2000</v>
      </c>
      <c r="V62" s="110">
        <f>G62-травень!G62</f>
        <v>1753.6100000000006</v>
      </c>
      <c r="W62" s="111">
        <f>#N/A</f>
        <v>-246.38999999999942</v>
      </c>
      <c r="X62" s="155">
        <f>#N/A</f>
        <v>0.8768050000000003</v>
      </c>
      <c r="Y62" s="197">
        <f>#N/A</f>
        <v>0.36464448081293765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377</v>
      </c>
      <c r="G63" s="106">
        <v>401.94</v>
      </c>
      <c r="H63" s="102">
        <f>#N/A</f>
        <v>24.939999999999998</v>
      </c>
      <c r="I63" s="213">
        <f>#N/A</f>
        <v>1.0661538461538462</v>
      </c>
      <c r="J63" s="115">
        <f>#N/A</f>
        <v>-365.06</v>
      </c>
      <c r="K63" s="155">
        <f>#N/A</f>
        <v>0.5240417209908735</v>
      </c>
      <c r="L63" s="115"/>
      <c r="M63" s="115"/>
      <c r="N63" s="115"/>
      <c r="O63" s="115">
        <v>710.04</v>
      </c>
      <c r="P63" s="115">
        <f>#N/A</f>
        <v>56.960000000000036</v>
      </c>
      <c r="Q63" s="155">
        <f>#N/A</f>
        <v>1.0802208326291478</v>
      </c>
      <c r="R63" s="115">
        <v>262.81</v>
      </c>
      <c r="S63" s="115">
        <f>#N/A</f>
        <v>139.13</v>
      </c>
      <c r="T63" s="155">
        <f>#N/A</f>
        <v>1.5293938586811764</v>
      </c>
      <c r="U63" s="107">
        <f>F63-травень!F63</f>
        <v>64</v>
      </c>
      <c r="V63" s="110">
        <f>G63-травень!G63</f>
        <v>55.5</v>
      </c>
      <c r="W63" s="111">
        <f>#N/A</f>
        <v>-8.5</v>
      </c>
      <c r="X63" s="155">
        <f>#N/A</f>
        <v>0.8671875</v>
      </c>
      <c r="Y63" s="197">
        <f>#N/A</f>
        <v>0.4491730260520286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20</v>
      </c>
      <c r="G64" s="106">
        <v>13.23</v>
      </c>
      <c r="H64" s="102">
        <f>#N/A</f>
        <v>-6.77</v>
      </c>
      <c r="I64" s="213">
        <f>#N/A</f>
        <v>0.6615</v>
      </c>
      <c r="J64" s="115">
        <f>#N/A</f>
        <v>-30.77</v>
      </c>
      <c r="K64" s="155">
        <f>#N/A</f>
        <v>0.3006818181818182</v>
      </c>
      <c r="L64" s="115"/>
      <c r="M64" s="115"/>
      <c r="N64" s="115"/>
      <c r="O64" s="115">
        <v>41.44</v>
      </c>
      <c r="P64" s="115">
        <f>#N/A</f>
        <v>2.5600000000000023</v>
      </c>
      <c r="Q64" s="155">
        <f>#N/A</f>
        <v>1.0617760617760619</v>
      </c>
      <c r="R64" s="115">
        <v>18.72</v>
      </c>
      <c r="S64" s="115">
        <f>#N/A</f>
        <v>-5.489999999999998</v>
      </c>
      <c r="T64" s="155">
        <f>#N/A</f>
        <v>0.7067307692307693</v>
      </c>
      <c r="U64" s="107">
        <f>F64-травень!F64</f>
        <v>4</v>
      </c>
      <c r="V64" s="110">
        <f>G64-травень!G64</f>
        <v>-1.5899999999999999</v>
      </c>
      <c r="W64" s="111">
        <f>#N/A</f>
        <v>-5.59</v>
      </c>
      <c r="X64" s="155">
        <f>#N/A</f>
        <v>-0.39749999999999996</v>
      </c>
      <c r="Y64" s="197">
        <f>#N/A</f>
        <v>-0.3550452925452926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3000</v>
      </c>
      <c r="G65" s="106">
        <v>3451.38</v>
      </c>
      <c r="H65" s="102">
        <f>#N/A</f>
        <v>451.3800000000001</v>
      </c>
      <c r="I65" s="213">
        <f>#N/A</f>
        <v>1.15046</v>
      </c>
      <c r="J65" s="115">
        <f>#N/A</f>
        <v>-2548.62</v>
      </c>
      <c r="K65" s="155">
        <f>#N/A</f>
        <v>0.57523</v>
      </c>
      <c r="L65" s="115"/>
      <c r="M65" s="115"/>
      <c r="N65" s="115"/>
      <c r="O65" s="115">
        <v>6545.96</v>
      </c>
      <c r="P65" s="115">
        <f>#N/A</f>
        <v>-545.96</v>
      </c>
      <c r="Q65" s="155">
        <f>#N/A</f>
        <v>0.9165958850955398</v>
      </c>
      <c r="R65" s="115">
        <v>3267.35</v>
      </c>
      <c r="S65" s="115">
        <f>#N/A</f>
        <v>184.0300000000002</v>
      </c>
      <c r="T65" s="155">
        <f>#N/A</f>
        <v>1.0563239322386644</v>
      </c>
      <c r="U65" s="107">
        <f>F65-травень!F65</f>
        <v>500</v>
      </c>
      <c r="V65" s="110">
        <f>G65-травень!G65</f>
        <v>611.9900000000002</v>
      </c>
      <c r="W65" s="111">
        <f>#N/A</f>
        <v>111.99000000000024</v>
      </c>
      <c r="X65" s="155">
        <f>#N/A</f>
        <v>1.2239800000000005</v>
      </c>
      <c r="Y65" s="197">
        <f>#N/A</f>
        <v>0.1397280471431246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418.64</v>
      </c>
      <c r="G66" s="106">
        <v>358.25</v>
      </c>
      <c r="H66" s="102">
        <f>#N/A</f>
        <v>-60.389999999999986</v>
      </c>
      <c r="I66" s="213">
        <f>#N/A</f>
        <v>0.8557471813491305</v>
      </c>
      <c r="J66" s="115">
        <f>#N/A</f>
        <v>-507.75</v>
      </c>
      <c r="K66" s="155">
        <f>#N/A</f>
        <v>0.41368360277136257</v>
      </c>
      <c r="L66" s="115"/>
      <c r="M66" s="115"/>
      <c r="N66" s="115"/>
      <c r="O66" s="115">
        <v>896.22</v>
      </c>
      <c r="P66" s="115">
        <f>#N/A</f>
        <v>-30.220000000000027</v>
      </c>
      <c r="Q66" s="155">
        <f>#N/A</f>
        <v>0.9662806007453527</v>
      </c>
      <c r="R66" s="115">
        <v>388.42</v>
      </c>
      <c r="S66" s="115">
        <f>#N/A</f>
        <v>-30.170000000000016</v>
      </c>
      <c r="T66" s="155">
        <f>#N/A</f>
        <v>0.9223263477678801</v>
      </c>
      <c r="U66" s="107">
        <f>F66-травень!F66</f>
        <v>74.5</v>
      </c>
      <c r="V66" s="110">
        <f>G66-травень!G66</f>
        <v>61.31999999999999</v>
      </c>
      <c r="W66" s="111">
        <f>#N/A</f>
        <v>-13.180000000000007</v>
      </c>
      <c r="X66" s="155">
        <f>#N/A</f>
        <v>0.8230872483221475</v>
      </c>
      <c r="Y66" s="197">
        <f>#N/A</f>
        <v>-0.043954252977472574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349.42</v>
      </c>
      <c r="G67" s="94">
        <v>282.98</v>
      </c>
      <c r="H67" s="71">
        <f>#N/A</f>
        <v>-66.44</v>
      </c>
      <c r="I67" s="209">
        <f>#N/A</f>
        <v>0.8098563333524126</v>
      </c>
      <c r="J67" s="72">
        <f>#N/A</f>
        <v>-445.22</v>
      </c>
      <c r="K67" s="75">
        <f>#N/A</f>
        <v>0.3886020324086789</v>
      </c>
      <c r="L67" s="72"/>
      <c r="M67" s="72"/>
      <c r="N67" s="72"/>
      <c r="O67" s="72">
        <v>760.62</v>
      </c>
      <c r="P67" s="72">
        <f>#N/A</f>
        <v>-32.41999999999996</v>
      </c>
      <c r="Q67" s="75">
        <f>#N/A</f>
        <v>0.957376876758434</v>
      </c>
      <c r="R67" s="72">
        <v>332.53</v>
      </c>
      <c r="S67" s="203">
        <f>#N/A</f>
        <v>-49.549999999999955</v>
      </c>
      <c r="T67" s="204">
        <f>#N/A</f>
        <v>0.850990888040177</v>
      </c>
      <c r="U67" s="73">
        <f>F67-травень!F67</f>
        <v>63</v>
      </c>
      <c r="V67" s="98">
        <f>G67-травень!G67</f>
        <v>46.99000000000001</v>
      </c>
      <c r="W67" s="74">
        <f>#N/A</f>
        <v>-16.00999999999999</v>
      </c>
      <c r="X67" s="75">
        <f>#N/A</f>
        <v>0.745873015873016</v>
      </c>
      <c r="Y67" s="197">
        <f>#N/A</f>
        <v>-0.106385988718257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0.4</v>
      </c>
      <c r="G68" s="94">
        <v>0.13</v>
      </c>
      <c r="H68" s="71">
        <f>#N/A</f>
        <v>-0.27</v>
      </c>
      <c r="I68" s="209">
        <f>#N/A</f>
        <v>0.325</v>
      </c>
      <c r="J68" s="72">
        <f>#N/A</f>
        <v>-0.87</v>
      </c>
      <c r="K68" s="75">
        <f>#N/A</f>
        <v>0.13</v>
      </c>
      <c r="L68" s="72"/>
      <c r="M68" s="72"/>
      <c r="N68" s="72"/>
      <c r="O68" s="72">
        <v>0.18</v>
      </c>
      <c r="P68" s="72">
        <f>#N/A</f>
        <v>0.8200000000000001</v>
      </c>
      <c r="Q68" s="75">
        <f>#N/A</f>
        <v>5.555555555555555</v>
      </c>
      <c r="R68" s="72">
        <v>0.15</v>
      </c>
      <c r="S68" s="203">
        <f>#N/A</f>
        <v>-0.01999999999999999</v>
      </c>
      <c r="T68" s="204">
        <f>#N/A</f>
        <v>0.8666666666666667</v>
      </c>
      <c r="U68" s="73">
        <f>F68-травень!F68</f>
        <v>0.10000000000000003</v>
      </c>
      <c r="V68" s="98">
        <f>G68-травень!G68</f>
        <v>0.04000000000000001</v>
      </c>
      <c r="W68" s="74">
        <f>#N/A</f>
        <v>-0.060000000000000026</v>
      </c>
      <c r="X68" s="75"/>
      <c r="Y68" s="197">
        <f>#N/A</f>
        <v>-4.688888888888888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>#N/A</f>
        <v>0</v>
      </c>
      <c r="I69" s="209" t="e">
        <f>#N/A</f>
        <v>#DIV/0!</v>
      </c>
      <c r="J69" s="72">
        <f>#N/A</f>
        <v>0</v>
      </c>
      <c r="K69" s="75" t="e">
        <f>#N/A</f>
        <v>#DIV/0!</v>
      </c>
      <c r="L69" s="72"/>
      <c r="M69" s="72"/>
      <c r="N69" s="72"/>
      <c r="O69" s="72">
        <v>0</v>
      </c>
      <c r="P69" s="72">
        <f>#N/A</f>
        <v>0</v>
      </c>
      <c r="Q69" s="75" t="e">
        <f>#N/A</f>
        <v>#DIV/0!</v>
      </c>
      <c r="R69" s="72">
        <f>O69</f>
        <v>0</v>
      </c>
      <c r="S69" s="203">
        <f>#N/A</f>
        <v>0</v>
      </c>
      <c r="T69" s="204" t="e">
        <f>#N/A</f>
        <v>#DIV/0!</v>
      </c>
      <c r="U69" s="73">
        <f>F69-травень!F69</f>
        <v>0</v>
      </c>
      <c r="V69" s="98">
        <f>G69-травень!G69</f>
        <v>0</v>
      </c>
      <c r="W69" s="74">
        <f>#N/A</f>
        <v>0</v>
      </c>
      <c r="X69" s="75"/>
      <c r="Y69" s="197" t="e">
        <f>#N/A</f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68.82</v>
      </c>
      <c r="G70" s="94">
        <v>75.14</v>
      </c>
      <c r="H70" s="71">
        <f>#N/A</f>
        <v>6.320000000000007</v>
      </c>
      <c r="I70" s="209">
        <f>#N/A</f>
        <v>1.0918337692531241</v>
      </c>
      <c r="J70" s="72">
        <f>#N/A</f>
        <v>-61.66000000000001</v>
      </c>
      <c r="K70" s="75">
        <f>#N/A</f>
        <v>0.5492690058479531</v>
      </c>
      <c r="L70" s="72"/>
      <c r="M70" s="72"/>
      <c r="N70" s="72"/>
      <c r="O70" s="72">
        <v>135.42</v>
      </c>
      <c r="P70" s="72">
        <f>#N/A</f>
        <v>1.3800000000000239</v>
      </c>
      <c r="Q70" s="75">
        <f>#N/A</f>
        <v>1.01019051838724</v>
      </c>
      <c r="R70" s="72">
        <v>55.74</v>
      </c>
      <c r="S70" s="203">
        <f>#N/A</f>
        <v>19.4</v>
      </c>
      <c r="T70" s="204">
        <f>#N/A</f>
        <v>1.3480444922856116</v>
      </c>
      <c r="U70" s="73">
        <f>F70-травень!F70</f>
        <v>11.399999999999991</v>
      </c>
      <c r="V70" s="98">
        <f>G70-травень!G70</f>
        <v>14.29</v>
      </c>
      <c r="W70" s="74">
        <f>#N/A</f>
        <v>2.8900000000000077</v>
      </c>
      <c r="X70" s="75">
        <f>#N/A</f>
        <v>1.2535087719298255</v>
      </c>
      <c r="Y70" s="197">
        <f>#N/A</f>
        <v>0.3378539738983717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</v>
      </c>
      <c r="H71" s="102">
        <f>#N/A</f>
        <v>-1.5</v>
      </c>
      <c r="I71" s="213">
        <f>#N/A</f>
        <v>0</v>
      </c>
      <c r="J71" s="115">
        <f>#N/A</f>
        <v>-3</v>
      </c>
      <c r="K71" s="155">
        <f>#N/A</f>
        <v>0</v>
      </c>
      <c r="L71" s="115"/>
      <c r="M71" s="115"/>
      <c r="N71" s="115"/>
      <c r="O71" s="115">
        <v>2.04</v>
      </c>
      <c r="P71" s="115">
        <f>#N/A</f>
        <v>0.96</v>
      </c>
      <c r="Q71" s="155">
        <f>#N/A</f>
        <v>1.4705882352941175</v>
      </c>
      <c r="R71" s="115">
        <v>2.04</v>
      </c>
      <c r="S71" s="115">
        <f>#N/A</f>
        <v>-2.04</v>
      </c>
      <c r="T71" s="155">
        <f>#N/A</f>
        <v>0</v>
      </c>
      <c r="U71" s="107">
        <f>F71-травень!F71</f>
        <v>0</v>
      </c>
      <c r="V71" s="110">
        <f>G71-травень!G71</f>
        <v>0</v>
      </c>
      <c r="W71" s="111">
        <f>#N/A</f>
        <v>0</v>
      </c>
      <c r="X71" s="155"/>
      <c r="Y71" s="197">
        <f>#N/A</f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3968.65</v>
      </c>
      <c r="G72" s="106">
        <v>3317.3</v>
      </c>
      <c r="H72" s="102">
        <f>#N/A</f>
        <v>-651.3499999999999</v>
      </c>
      <c r="I72" s="213">
        <f>#N/A</f>
        <v>0.8358761795572802</v>
      </c>
      <c r="J72" s="115">
        <f>#N/A</f>
        <v>-4852.7</v>
      </c>
      <c r="K72" s="155">
        <f>#N/A</f>
        <v>0.40603427172582623</v>
      </c>
      <c r="L72" s="115"/>
      <c r="M72" s="115"/>
      <c r="N72" s="115"/>
      <c r="O72" s="115">
        <v>8086.92</v>
      </c>
      <c r="P72" s="115">
        <f>#N/A</f>
        <v>83.07999999999993</v>
      </c>
      <c r="Q72" s="155">
        <f>#N/A</f>
        <v>1.0102733797292418</v>
      </c>
      <c r="R72" s="115">
        <v>4834.79</v>
      </c>
      <c r="S72" s="115">
        <f>#N/A</f>
        <v>-1517.4899999999998</v>
      </c>
      <c r="T72" s="155">
        <f>#N/A</f>
        <v>0.6861311453031053</v>
      </c>
      <c r="U72" s="107">
        <f>F72-травень!F72</f>
        <v>680</v>
      </c>
      <c r="V72" s="110">
        <f>G72-травень!G72</f>
        <v>516.8500000000004</v>
      </c>
      <c r="W72" s="111">
        <f>#N/A</f>
        <v>-163.14999999999964</v>
      </c>
      <c r="X72" s="155">
        <f>#N/A</f>
        <v>0.7600735294117652</v>
      </c>
      <c r="Y72" s="197">
        <f>#N/A</f>
        <v>-0.32414223442613654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>#N/A</f>
        <v>0</v>
      </c>
      <c r="I73" s="213" t="e">
        <f>G73/F73*100</f>
        <v>#DIV/0!</v>
      </c>
      <c r="J73" s="115">
        <f>#N/A</f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>#N/A</f>
        <v>0</v>
      </c>
      <c r="T73" s="155" t="e">
        <f>#N/A</f>
        <v>#DIV/0!</v>
      </c>
      <c r="U73" s="107">
        <f>F73-травень!F73</f>
        <v>0</v>
      </c>
      <c r="V73" s="110">
        <f>G73-травень!G73</f>
        <v>0</v>
      </c>
      <c r="W73" s="111">
        <f>#N/A</f>
        <v>0</v>
      </c>
      <c r="X73" s="155" t="e">
        <f>#N/A</f>
        <v>#DIV/0!</v>
      </c>
      <c r="Y73" s="197" t="e">
        <f>#N/A</f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>#N/A</f>
        <v>0</v>
      </c>
      <c r="U74" s="107">
        <f>F74-травень!F74</f>
        <v>0</v>
      </c>
      <c r="V74" s="110">
        <f>G74-травень!G74</f>
        <v>0</v>
      </c>
      <c r="W74" s="116">
        <f>V74-U74</f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>#N/A</f>
        <v>0</v>
      </c>
      <c r="I75" s="213" t="e">
        <f>G75/F75*100</f>
        <v>#DIV/0!</v>
      </c>
      <c r="J75" s="115">
        <f>#N/A</f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>#N/A</f>
        <v>0</v>
      </c>
      <c r="T75" s="155" t="e">
        <f>#N/A</f>
        <v>#DIV/0!</v>
      </c>
      <c r="U75" s="107">
        <f>F75-травень!F75</f>
        <v>0</v>
      </c>
      <c r="V75" s="110">
        <f>G75-травень!G75</f>
        <v>0</v>
      </c>
      <c r="W75" s="111">
        <f>V75-U75</f>
        <v>0</v>
      </c>
      <c r="X75" s="155" t="e">
        <f>#N/A</f>
        <v>#DIV/0!</v>
      </c>
      <c r="Y75" s="197" t="e">
        <f>#N/A</f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20</v>
      </c>
      <c r="G76" s="106">
        <v>0</v>
      </c>
      <c r="H76" s="102">
        <f>#N/A</f>
        <v>-20</v>
      </c>
      <c r="I76" s="213">
        <f>G76/F76</f>
        <v>0</v>
      </c>
      <c r="J76" s="115">
        <f>#N/A</f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54.64</v>
      </c>
      <c r="S76" s="115">
        <f>#N/A</f>
        <v>-54.64</v>
      </c>
      <c r="T76" s="155">
        <f>#N/A</f>
        <v>0</v>
      </c>
      <c r="U76" s="107">
        <f>F76-травень!F76</f>
        <v>0</v>
      </c>
      <c r="V76" s="110">
        <f>G76-травень!G76</f>
        <v>0</v>
      </c>
      <c r="W76" s="111">
        <f>V76-U76</f>
        <v>0</v>
      </c>
      <c r="X76" s="155" t="e">
        <f>#N/A</f>
        <v>#DIV/0!</v>
      </c>
      <c r="Y76" s="197">
        <f>#N/A</f>
        <v>-1.2266141510761006</v>
      </c>
    </row>
    <row r="77" spans="1:25" s="6" customFormat="1" ht="44.25" customHeight="1">
      <c r="A77" s="8"/>
      <c r="B77" s="89" t="s">
        <v>238</v>
      </c>
      <c r="C77" s="34">
        <v>24062200</v>
      </c>
      <c r="D77" s="233"/>
      <c r="E77" s="102"/>
      <c r="F77" s="102"/>
      <c r="G77" s="106">
        <v>0.09</v>
      </c>
      <c r="H77" s="102">
        <f>#N/A</f>
        <v>0.09</v>
      </c>
      <c r="I77" s="213"/>
      <c r="J77" s="115">
        <f>#N/A</f>
        <v>0.09</v>
      </c>
      <c r="K77" s="155"/>
      <c r="L77" s="115"/>
      <c r="M77" s="115"/>
      <c r="N77" s="115"/>
      <c r="O77" s="115"/>
      <c r="P77" s="115"/>
      <c r="Q77" s="155"/>
      <c r="R77" s="115"/>
      <c r="S77" s="115"/>
      <c r="T77" s="155"/>
      <c r="U77" s="107">
        <f>F77-травень!F77</f>
        <v>0</v>
      </c>
      <c r="V77" s="110">
        <f>G77-травень!G77</f>
        <v>0</v>
      </c>
      <c r="W77" s="111"/>
      <c r="X77" s="155"/>
      <c r="Y77" s="197"/>
    </row>
    <row r="78" spans="1:25" s="6" customFormat="1" ht="27.75" customHeight="1">
      <c r="A78" s="8"/>
      <c r="B78" s="89" t="s">
        <v>39</v>
      </c>
      <c r="C78" s="34">
        <v>31010200</v>
      </c>
      <c r="D78" s="233">
        <v>35</v>
      </c>
      <c r="E78" s="102">
        <v>35</v>
      </c>
      <c r="F78" s="102">
        <v>18.27</v>
      </c>
      <c r="G78" s="106">
        <v>7.72</v>
      </c>
      <c r="H78" s="102">
        <f>#N/A</f>
        <v>-10.55</v>
      </c>
      <c r="I78" s="213">
        <f>G78/F78</f>
        <v>0.4225506294471812</v>
      </c>
      <c r="J78" s="115">
        <f>#N/A</f>
        <v>-27.28</v>
      </c>
      <c r="K78" s="155">
        <f>G78/E78</f>
        <v>0.22057142857142856</v>
      </c>
      <c r="L78" s="115"/>
      <c r="M78" s="115"/>
      <c r="N78" s="115"/>
      <c r="O78" s="115">
        <v>34.22</v>
      </c>
      <c r="P78" s="115">
        <f>E78-O78</f>
        <v>0.7800000000000011</v>
      </c>
      <c r="Q78" s="155">
        <f>E78/O78</f>
        <v>1.0227936879018118</v>
      </c>
      <c r="R78" s="115">
        <v>25.38</v>
      </c>
      <c r="S78" s="115">
        <f>#N/A</f>
        <v>-17.66</v>
      </c>
      <c r="T78" s="155">
        <f>#N/A</f>
        <v>0.3041765169424744</v>
      </c>
      <c r="U78" s="107">
        <f>F78-травень!F78</f>
        <v>2.9000000000000004</v>
      </c>
      <c r="V78" s="110">
        <f>G78-травень!G78</f>
        <v>2.0999999999999996</v>
      </c>
      <c r="W78" s="111">
        <f>V78-U78</f>
        <v>-0.8000000000000007</v>
      </c>
      <c r="X78" s="155">
        <f>#N/A</f>
        <v>0.7241379310344825</v>
      </c>
      <c r="Y78" s="197">
        <f>#N/A</f>
        <v>-0.7186171709593374</v>
      </c>
    </row>
    <row r="79" spans="1:25" s="6" customFormat="1" ht="30.75">
      <c r="A79" s="8"/>
      <c r="B79" s="89" t="s">
        <v>49</v>
      </c>
      <c r="C79" s="34">
        <v>31020000</v>
      </c>
      <c r="D79" s="229"/>
      <c r="E79" s="102">
        <v>0</v>
      </c>
      <c r="F79" s="102">
        <f>E79</f>
        <v>0</v>
      </c>
      <c r="G79" s="106">
        <v>0.68</v>
      </c>
      <c r="H79" s="102">
        <f>#N/A</f>
        <v>0.68</v>
      </c>
      <c r="I79" s="213" t="e">
        <f>G79/F79</f>
        <v>#DIV/0!</v>
      </c>
      <c r="J79" s="115">
        <f>#N/A</f>
        <v>0.68</v>
      </c>
      <c r="K79" s="155"/>
      <c r="L79" s="115"/>
      <c r="M79" s="115"/>
      <c r="N79" s="115"/>
      <c r="O79" s="115">
        <v>-4.86</v>
      </c>
      <c r="P79" s="115">
        <f>E79-O79</f>
        <v>4.86</v>
      </c>
      <c r="Q79" s="155">
        <f>E79/O79</f>
        <v>0</v>
      </c>
      <c r="R79" s="115">
        <v>-5.25</v>
      </c>
      <c r="S79" s="115">
        <f>#N/A</f>
        <v>5.93</v>
      </c>
      <c r="T79" s="155">
        <f>#N/A</f>
        <v>-0.12952380952380954</v>
      </c>
      <c r="U79" s="107">
        <f>F79-травень!F79</f>
        <v>0</v>
      </c>
      <c r="V79" s="110">
        <f>G79-травень!G79</f>
        <v>0.010000000000000009</v>
      </c>
      <c r="W79" s="111">
        <f>V79-U79</f>
        <v>0.010000000000000009</v>
      </c>
      <c r="X79" s="155"/>
      <c r="Y79" s="197">
        <f>#N/A</f>
        <v>-0.12952380952380954</v>
      </c>
    </row>
    <row r="80" spans="1:25" s="6" customFormat="1" ht="17.25">
      <c r="A80" s="9"/>
      <c r="B80" s="13" t="s">
        <v>104</v>
      </c>
      <c r="C80" s="50"/>
      <c r="D80" s="14">
        <f>D8+D53+D78+D79</f>
        <v>1627917.7</v>
      </c>
      <c r="E80" s="103">
        <f>E8+E53+E78+E79</f>
        <v>1653534.7999999998</v>
      </c>
      <c r="F80" s="103">
        <f>F8+F53+F78+F79</f>
        <v>761631.52</v>
      </c>
      <c r="G80" s="103">
        <f>G8+G53+G78+G79</f>
        <v>801153.8400000001</v>
      </c>
      <c r="H80" s="103">
        <f>G80-F80</f>
        <v>39522.320000000065</v>
      </c>
      <c r="I80" s="210">
        <f>G80/F80</f>
        <v>1.0518916549041983</v>
      </c>
      <c r="J80" s="104">
        <f>G80-E80</f>
        <v>-852380.9599999997</v>
      </c>
      <c r="K80" s="156">
        <f>G80/E80</f>
        <v>0.48450981497335294</v>
      </c>
      <c r="L80" s="104"/>
      <c r="M80" s="104"/>
      <c r="N80" s="104"/>
      <c r="O80" s="104">
        <v>1398996.46</v>
      </c>
      <c r="P80" s="104">
        <f>E80-O80</f>
        <v>254538.33999999985</v>
      </c>
      <c r="Q80" s="156">
        <f>E80/O80</f>
        <v>1.1819435197141241</v>
      </c>
      <c r="R80" s="103">
        <v>643548.74</v>
      </c>
      <c r="S80" s="104">
        <f>G80-R80</f>
        <v>157605.1000000001</v>
      </c>
      <c r="T80" s="156">
        <f>G80/R80</f>
        <v>1.2449000210924197</v>
      </c>
      <c r="U80" s="103">
        <f>U8+U53+U78+U79</f>
        <v>101056.40000000005</v>
      </c>
      <c r="V80" s="103">
        <f>V8+V53+V78+V79</f>
        <v>127772.47000000004</v>
      </c>
      <c r="W80" s="135">
        <f>V80-U80</f>
        <v>26716.069999999992</v>
      </c>
      <c r="X80" s="156">
        <f>V80/U80</f>
        <v>1.2643679173214164</v>
      </c>
      <c r="Y80" s="197">
        <f>#N/A</f>
        <v>0.06295650137829556</v>
      </c>
    </row>
    <row r="81" spans="1:25" s="39" customFormat="1" ht="17.25" hidden="1">
      <c r="A81" s="36"/>
      <c r="B81" s="43"/>
      <c r="C81" s="51"/>
      <c r="D81" s="239"/>
      <c r="E81" s="37"/>
      <c r="F81" s="37"/>
      <c r="G81" s="63"/>
      <c r="H81" s="61"/>
      <c r="I81" s="214"/>
      <c r="J81" s="42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38"/>
      <c r="V81" s="37"/>
      <c r="W81" s="62"/>
      <c r="X81" s="68"/>
      <c r="Y81" s="197">
        <f>#N/A</f>
        <v>0</v>
      </c>
    </row>
    <row r="82" spans="1:25" s="39" customFormat="1" ht="17.25" hidden="1">
      <c r="A82" s="36"/>
      <c r="B82" s="44"/>
      <c r="C82" s="51"/>
      <c r="D82" s="239"/>
      <c r="E82" s="45"/>
      <c r="F82" s="37"/>
      <c r="G82" s="63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37"/>
      <c r="W82" s="47"/>
      <c r="X82" s="68"/>
      <c r="Y82" s="197">
        <f>#N/A</f>
        <v>0</v>
      </c>
    </row>
    <row r="83" spans="1:25" s="39" customFormat="1" ht="17.25" hidden="1">
      <c r="A83" s="36"/>
      <c r="B83" s="44"/>
      <c r="C83" s="51"/>
      <c r="D83" s="239"/>
      <c r="E83" s="45"/>
      <c r="F83" s="27"/>
      <c r="G83" s="76"/>
      <c r="H83" s="32"/>
      <c r="I83" s="214"/>
      <c r="J83" s="46"/>
      <c r="K83" s="68"/>
      <c r="L83" s="28"/>
      <c r="M83" s="28"/>
      <c r="N83" s="28"/>
      <c r="O83" s="28"/>
      <c r="P83" s="28"/>
      <c r="Q83" s="68"/>
      <c r="R83" s="28"/>
      <c r="S83" s="28"/>
      <c r="T83" s="28"/>
      <c r="U83" s="23"/>
      <c r="V83" s="45"/>
      <c r="W83" s="62"/>
      <c r="X83" s="68"/>
      <c r="Y83" s="197">
        <f>#N/A</f>
        <v>0</v>
      </c>
    </row>
    <row r="84" spans="2:25" ht="15">
      <c r="B84" s="19" t="s">
        <v>91</v>
      </c>
      <c r="C84" s="52"/>
      <c r="D84" s="240"/>
      <c r="E84" s="21"/>
      <c r="F84" s="21"/>
      <c r="G84" s="96"/>
      <c r="H84" s="27"/>
      <c r="I84" s="215"/>
      <c r="J84" s="31"/>
      <c r="K84" s="69"/>
      <c r="L84" s="31"/>
      <c r="M84" s="31"/>
      <c r="N84" s="31"/>
      <c r="O84" s="31"/>
      <c r="P84" s="31"/>
      <c r="Q84" s="69"/>
      <c r="R84" s="31"/>
      <c r="S84" s="31"/>
      <c r="T84" s="31"/>
      <c r="U84" s="24"/>
      <c r="V84" s="100"/>
      <c r="W84" s="29"/>
      <c r="X84" s="69"/>
      <c r="Y84" s="197">
        <f>#N/A</f>
        <v>0</v>
      </c>
    </row>
    <row r="85" spans="2:25" ht="25.5" customHeight="1" hidden="1">
      <c r="B85" s="165" t="s">
        <v>87</v>
      </c>
      <c r="C85" s="90">
        <v>12020000</v>
      </c>
      <c r="D85" s="241"/>
      <c r="E85" s="125">
        <v>0</v>
      </c>
      <c r="F85" s="125"/>
      <c r="G85" s="126">
        <v>0.01</v>
      </c>
      <c r="H85" s="112"/>
      <c r="I85" s="213"/>
      <c r="J85" s="117"/>
      <c r="K85" s="147"/>
      <c r="L85" s="117"/>
      <c r="M85" s="117"/>
      <c r="N85" s="117"/>
      <c r="O85" s="117"/>
      <c r="P85" s="117"/>
      <c r="Q85" s="147"/>
      <c r="R85" s="117">
        <f>O85</f>
        <v>0</v>
      </c>
      <c r="S85" s="117">
        <f>G85-R85</f>
        <v>0.01</v>
      </c>
      <c r="T85" s="147" t="e">
        <f>G85/R85</f>
        <v>#DIV/0!</v>
      </c>
      <c r="U85" s="112">
        <f>F85-травень!F85</f>
        <v>0</v>
      </c>
      <c r="V85" s="110">
        <f>G85-травень!G85</f>
        <v>0</v>
      </c>
      <c r="W85" s="117"/>
      <c r="X85" s="147"/>
      <c r="Y85" s="197" t="e">
        <f>#N/A</f>
        <v>#DIV/0!</v>
      </c>
    </row>
    <row r="86" spans="2:25" ht="31.5" hidden="1">
      <c r="B86" s="20" t="s">
        <v>52</v>
      </c>
      <c r="C86" s="58">
        <v>18041500</v>
      </c>
      <c r="D86" s="242"/>
      <c r="E86" s="125">
        <v>0</v>
      </c>
      <c r="F86" s="125">
        <v>0</v>
      </c>
      <c r="G86" s="126">
        <v>0</v>
      </c>
      <c r="H86" s="112">
        <f>G86-F86</f>
        <v>0</v>
      </c>
      <c r="I86" s="213"/>
      <c r="J86" s="117">
        <f>G86-E86</f>
        <v>0</v>
      </c>
      <c r="K86" s="147"/>
      <c r="L86" s="117"/>
      <c r="M86" s="117"/>
      <c r="N86" s="117"/>
      <c r="O86" s="117">
        <v>-2.64</v>
      </c>
      <c r="P86" s="117">
        <f>E86-O86</f>
        <v>2.64</v>
      </c>
      <c r="Q86" s="147">
        <f>E86/O86</f>
        <v>0</v>
      </c>
      <c r="R86" s="117">
        <v>-2.64</v>
      </c>
      <c r="S86" s="117">
        <f>G86-R86</f>
        <v>2.64</v>
      </c>
      <c r="T86" s="147">
        <f>G86/R86</f>
        <v>0</v>
      </c>
      <c r="U86" s="112">
        <f>F86-травень!F86</f>
        <v>0</v>
      </c>
      <c r="V86" s="110">
        <f>G86-травень!G86</f>
        <v>0</v>
      </c>
      <c r="W86" s="117">
        <f>V86-U86</f>
        <v>0</v>
      </c>
      <c r="X86" s="147"/>
      <c r="Y86" s="197">
        <f>#N/A</f>
        <v>0</v>
      </c>
    </row>
    <row r="87" spans="2:25" ht="17.25" hidden="1">
      <c r="B87" s="22" t="s">
        <v>40</v>
      </c>
      <c r="C87" s="59"/>
      <c r="D87" s="127">
        <f>D86</f>
        <v>0</v>
      </c>
      <c r="E87" s="127">
        <f>E86</f>
        <v>0</v>
      </c>
      <c r="F87" s="127">
        <f>F86</f>
        <v>0</v>
      </c>
      <c r="G87" s="128">
        <f>SUM(G85:G86)</f>
        <v>0.01</v>
      </c>
      <c r="H87" s="129">
        <f>G87-F87</f>
        <v>0.01</v>
      </c>
      <c r="I87" s="216"/>
      <c r="J87" s="131">
        <f>G87-E87</f>
        <v>0.01</v>
      </c>
      <c r="K87" s="151"/>
      <c r="L87" s="131"/>
      <c r="M87" s="131"/>
      <c r="N87" s="131"/>
      <c r="O87" s="131">
        <v>-2.64</v>
      </c>
      <c r="P87" s="131">
        <f>E87-O87</f>
        <v>2.64</v>
      </c>
      <c r="Q87" s="151">
        <f>E87/O87</f>
        <v>0</v>
      </c>
      <c r="R87" s="131">
        <v>-2.64</v>
      </c>
      <c r="S87" s="131">
        <f>#N/A</f>
        <v>2.65</v>
      </c>
      <c r="T87" s="151">
        <f>#N/A</f>
        <v>-0.003787878787878788</v>
      </c>
      <c r="U87" s="129">
        <f>F87-травень!F87</f>
        <v>0</v>
      </c>
      <c r="V87" s="174">
        <f>G87-травень!G87</f>
        <v>0</v>
      </c>
      <c r="W87" s="131">
        <f>V87-U87</f>
        <v>0</v>
      </c>
      <c r="X87" s="151"/>
      <c r="Y87" s="197">
        <f>#N/A</f>
        <v>-0.003787878787878788</v>
      </c>
    </row>
    <row r="88" spans="2:25" ht="45.75">
      <c r="B88" s="22" t="s">
        <v>32</v>
      </c>
      <c r="C88" s="90">
        <v>21110000</v>
      </c>
      <c r="D88" s="241">
        <v>0</v>
      </c>
      <c r="E88" s="127">
        <v>0</v>
      </c>
      <c r="F88" s="127">
        <v>0</v>
      </c>
      <c r="G88" s="128">
        <v>9.43</v>
      </c>
      <c r="H88" s="129">
        <f>#N/A</f>
        <v>9.43</v>
      </c>
      <c r="I88" s="216"/>
      <c r="J88" s="131">
        <f>G88-E88</f>
        <v>9.43</v>
      </c>
      <c r="K88" s="151"/>
      <c r="L88" s="131"/>
      <c r="M88" s="131"/>
      <c r="N88" s="131"/>
      <c r="O88" s="131">
        <v>35.57</v>
      </c>
      <c r="P88" s="131">
        <f>#N/A</f>
        <v>-35.57</v>
      </c>
      <c r="Q88" s="151">
        <f>#N/A</f>
        <v>0</v>
      </c>
      <c r="R88" s="131">
        <v>35.57</v>
      </c>
      <c r="S88" s="131">
        <f>#N/A</f>
        <v>-26.14</v>
      </c>
      <c r="T88" s="147"/>
      <c r="U88" s="129">
        <f>F88-травень!F88</f>
        <v>0</v>
      </c>
      <c r="V88" s="174">
        <f>G88-травень!G88</f>
        <v>0</v>
      </c>
      <c r="W88" s="131">
        <f>#N/A</f>
        <v>0</v>
      </c>
      <c r="X88" s="151"/>
      <c r="Y88" s="197"/>
    </row>
    <row r="89" spans="2:25" ht="31.5">
      <c r="B89" s="20" t="s">
        <v>28</v>
      </c>
      <c r="C89" s="58">
        <v>31030000</v>
      </c>
      <c r="D89" s="256">
        <v>5000</v>
      </c>
      <c r="E89" s="125">
        <f>5000+3318.039</f>
        <v>8318.039</v>
      </c>
      <c r="F89" s="125">
        <v>1500.03</v>
      </c>
      <c r="G89" s="126">
        <v>1597.03</v>
      </c>
      <c r="H89" s="112">
        <f>#N/A</f>
        <v>97</v>
      </c>
      <c r="I89" s="213">
        <f>G89/F89</f>
        <v>1.0646653733591995</v>
      </c>
      <c r="J89" s="117">
        <f>G89-E89</f>
        <v>-6721.009000000001</v>
      </c>
      <c r="K89" s="147">
        <f>G89/E89</f>
        <v>0.19199597405109545</v>
      </c>
      <c r="L89" s="117"/>
      <c r="M89" s="117"/>
      <c r="N89" s="117"/>
      <c r="O89" s="117">
        <v>938.14</v>
      </c>
      <c r="P89" s="117">
        <f>#N/A</f>
        <v>7379.899</v>
      </c>
      <c r="Q89" s="147">
        <f>#N/A</f>
        <v>8.866522054277613</v>
      </c>
      <c r="R89" s="117">
        <v>3.72</v>
      </c>
      <c r="S89" s="117">
        <f>#N/A</f>
        <v>1593.31</v>
      </c>
      <c r="T89" s="147">
        <f>#N/A</f>
        <v>429.3091397849462</v>
      </c>
      <c r="U89" s="112">
        <f>F89-травень!F89</f>
        <v>500</v>
      </c>
      <c r="V89" s="118">
        <f>G89-травень!G89</f>
        <v>0.029999999999972715</v>
      </c>
      <c r="W89" s="117">
        <f>#N/A</f>
        <v>-499.97</v>
      </c>
      <c r="X89" s="147">
        <f>V89/U89</f>
        <v>5.999999999994543E-05</v>
      </c>
      <c r="Y89" s="197">
        <f>#N/A</f>
        <v>420.4426177306686</v>
      </c>
    </row>
    <row r="90" spans="2:25" ht="18">
      <c r="B90" s="20" t="s">
        <v>29</v>
      </c>
      <c r="C90" s="58">
        <v>33010000</v>
      </c>
      <c r="D90" s="256">
        <v>16449</v>
      </c>
      <c r="E90" s="125">
        <v>16449</v>
      </c>
      <c r="F90" s="125">
        <v>5015</v>
      </c>
      <c r="G90" s="126">
        <v>1693.88</v>
      </c>
      <c r="H90" s="112">
        <f>#N/A</f>
        <v>-3321.12</v>
      </c>
      <c r="I90" s="213">
        <f>G90/F90</f>
        <v>0.3377627118644068</v>
      </c>
      <c r="J90" s="117">
        <f>#N/A</f>
        <v>-14755.119999999999</v>
      </c>
      <c r="K90" s="147">
        <f>G90/E90</f>
        <v>0.10297768861328957</v>
      </c>
      <c r="L90" s="117"/>
      <c r="M90" s="117"/>
      <c r="N90" s="117"/>
      <c r="O90" s="117">
        <v>8143.65</v>
      </c>
      <c r="P90" s="117">
        <f>#N/A</f>
        <v>8305.35</v>
      </c>
      <c r="Q90" s="147">
        <f>#N/A</f>
        <v>2.0198559613932328</v>
      </c>
      <c r="R90" s="117">
        <v>1617.15</v>
      </c>
      <c r="S90" s="117">
        <f>#N/A</f>
        <v>76.73000000000002</v>
      </c>
      <c r="T90" s="147">
        <f>#N/A</f>
        <v>1.0474476702841418</v>
      </c>
      <c r="U90" s="112">
        <f>F90-травень!F90</f>
        <v>1000</v>
      </c>
      <c r="V90" s="118">
        <f>G90-травень!G90</f>
        <v>67.68000000000006</v>
      </c>
      <c r="W90" s="117">
        <f>#N/A</f>
        <v>-932.3199999999999</v>
      </c>
      <c r="X90" s="147">
        <f>V90/U90</f>
        <v>0.06768000000000006</v>
      </c>
      <c r="Y90" s="197">
        <f>#N/A</f>
        <v>-0.972408291109091</v>
      </c>
    </row>
    <row r="91" spans="2:25" ht="31.5">
      <c r="B91" s="20" t="s">
        <v>48</v>
      </c>
      <c r="C91" s="58">
        <v>24170000</v>
      </c>
      <c r="D91" s="256">
        <v>22000</v>
      </c>
      <c r="E91" s="125">
        <f>22000+15</f>
        <v>22015</v>
      </c>
      <c r="F91" s="125">
        <v>12000</v>
      </c>
      <c r="G91" s="126">
        <v>2970.99</v>
      </c>
      <c r="H91" s="112">
        <f>#N/A</f>
        <v>-9029.01</v>
      </c>
      <c r="I91" s="213">
        <f>G91/F91</f>
        <v>0.24758249999999998</v>
      </c>
      <c r="J91" s="117">
        <f>#N/A</f>
        <v>-19044.010000000002</v>
      </c>
      <c r="K91" s="147">
        <f>G91/E91</f>
        <v>0.13495298660004543</v>
      </c>
      <c r="L91" s="117"/>
      <c r="M91" s="117"/>
      <c r="N91" s="117"/>
      <c r="O91" s="117">
        <v>17305.88</v>
      </c>
      <c r="P91" s="117">
        <f>#N/A</f>
        <v>4709.119999999999</v>
      </c>
      <c r="Q91" s="147">
        <f>#N/A</f>
        <v>1.2721109819321526</v>
      </c>
      <c r="R91" s="117">
        <v>6568.22</v>
      </c>
      <c r="S91" s="117">
        <f>#N/A</f>
        <v>-3597.2300000000005</v>
      </c>
      <c r="T91" s="147">
        <f>#N/A</f>
        <v>0.4523280279893182</v>
      </c>
      <c r="U91" s="112">
        <f>F91-травень!F91</f>
        <v>2000</v>
      </c>
      <c r="V91" s="118">
        <f>G91-травень!G91</f>
        <v>1158.4599999999998</v>
      </c>
      <c r="W91" s="117">
        <f>#N/A</f>
        <v>-841.5400000000002</v>
      </c>
      <c r="X91" s="147">
        <f>V91/U91</f>
        <v>0.5792299999999999</v>
      </c>
      <c r="Y91" s="197">
        <f>#N/A</f>
        <v>-0.8197829539428343</v>
      </c>
    </row>
    <row r="92" spans="2:25" ht="18">
      <c r="B92" s="20" t="s">
        <v>88</v>
      </c>
      <c r="C92" s="58">
        <v>24110700</v>
      </c>
      <c r="D92" s="256">
        <v>24</v>
      </c>
      <c r="E92" s="125">
        <v>24</v>
      </c>
      <c r="F92" s="125">
        <v>12</v>
      </c>
      <c r="G92" s="126">
        <v>8</v>
      </c>
      <c r="H92" s="112">
        <f>#N/A</f>
        <v>-4</v>
      </c>
      <c r="I92" s="213">
        <f>G92/F92</f>
        <v>0.6666666666666666</v>
      </c>
      <c r="J92" s="117">
        <f>#N/A</f>
        <v>-16</v>
      </c>
      <c r="K92" s="147">
        <f>G92/E92</f>
        <v>0.3333333333333333</v>
      </c>
      <c r="L92" s="117"/>
      <c r="M92" s="117"/>
      <c r="N92" s="117"/>
      <c r="O92" s="117">
        <v>20</v>
      </c>
      <c r="P92" s="117">
        <f>#N/A</f>
        <v>4</v>
      </c>
      <c r="Q92" s="147">
        <f>#N/A</f>
        <v>1.2</v>
      </c>
      <c r="R92" s="117">
        <v>7</v>
      </c>
      <c r="S92" s="117">
        <f>#N/A</f>
        <v>1</v>
      </c>
      <c r="T92" s="147">
        <f>#N/A</f>
        <v>1.1428571428571428</v>
      </c>
      <c r="U92" s="112">
        <f>F92-травень!F92</f>
        <v>2</v>
      </c>
      <c r="V92" s="118">
        <f>G92-травень!G92</f>
        <v>3</v>
      </c>
      <c r="W92" s="117">
        <f>#N/A</f>
        <v>1</v>
      </c>
      <c r="X92" s="147">
        <f>V92/U92</f>
        <v>1.5</v>
      </c>
      <c r="Y92" s="197">
        <f>#N/A</f>
        <v>-0.05714285714285716</v>
      </c>
    </row>
    <row r="93" spans="2:28" ht="33">
      <c r="B93" s="22" t="s">
        <v>46</v>
      </c>
      <c r="C93" s="53"/>
      <c r="D93" s="127">
        <f>D89+D90+D91+D92</f>
        <v>43473</v>
      </c>
      <c r="E93" s="127">
        <f>E89+E90+E91+E92</f>
        <v>46806.039000000004</v>
      </c>
      <c r="F93" s="127">
        <f>F89+F90+F91+F92</f>
        <v>18527.03</v>
      </c>
      <c r="G93" s="128">
        <f>G89+G90+G91+G92</f>
        <v>6269.9</v>
      </c>
      <c r="H93" s="129">
        <f>#N/A</f>
        <v>-12257.13</v>
      </c>
      <c r="I93" s="216">
        <f>G93/F93</f>
        <v>0.3384190558335578</v>
      </c>
      <c r="J93" s="131">
        <f>#N/A</f>
        <v>-40536.139</v>
      </c>
      <c r="K93" s="151">
        <f>G93/E93</f>
        <v>0.1339549368832513</v>
      </c>
      <c r="L93" s="131"/>
      <c r="M93" s="131"/>
      <c r="N93" s="131"/>
      <c r="O93" s="131">
        <v>26407.66</v>
      </c>
      <c r="P93" s="131">
        <f>#N/A</f>
        <v>20398.379000000004</v>
      </c>
      <c r="Q93" s="151">
        <f>#N/A</f>
        <v>1.772441746069133</v>
      </c>
      <c r="R93" s="131">
        <v>8196.1</v>
      </c>
      <c r="S93" s="117">
        <f>#N/A</f>
        <v>-1926.2000000000007</v>
      </c>
      <c r="T93" s="147">
        <f>#N/A</f>
        <v>0.7649857859225728</v>
      </c>
      <c r="U93" s="129">
        <f>F93-травень!F93</f>
        <v>3502</v>
      </c>
      <c r="V93" s="174">
        <f>G93-травень!G93</f>
        <v>1229.17</v>
      </c>
      <c r="W93" s="131">
        <f>#N/A</f>
        <v>-2272.83</v>
      </c>
      <c r="X93" s="151">
        <f>V93/U93</f>
        <v>0.3509908623643632</v>
      </c>
      <c r="Y93" s="197">
        <f>#N/A</f>
        <v>-1.0074559601465602</v>
      </c>
      <c r="AB93" s="4" t="s">
        <v>202</v>
      </c>
    </row>
    <row r="94" spans="2:25" ht="46.5">
      <c r="B94" s="12" t="s">
        <v>35</v>
      </c>
      <c r="C94" s="60">
        <v>24062100</v>
      </c>
      <c r="D94" s="257">
        <v>43</v>
      </c>
      <c r="E94" s="125">
        <v>43</v>
      </c>
      <c r="F94" s="125">
        <v>19</v>
      </c>
      <c r="G94" s="126">
        <v>2.19</v>
      </c>
      <c r="H94" s="112">
        <f>#N/A</f>
        <v>-16.81</v>
      </c>
      <c r="I94" s="213"/>
      <c r="J94" s="117">
        <f>#N/A</f>
        <v>-40.81</v>
      </c>
      <c r="K94" s="147"/>
      <c r="L94" s="117"/>
      <c r="M94" s="117"/>
      <c r="N94" s="117"/>
      <c r="O94" s="117">
        <v>49.17</v>
      </c>
      <c r="P94" s="117">
        <f>#N/A</f>
        <v>-6.170000000000002</v>
      </c>
      <c r="Q94" s="147">
        <f>#N/A</f>
        <v>0.8745169818995322</v>
      </c>
      <c r="R94" s="117">
        <v>35.31</v>
      </c>
      <c r="S94" s="117">
        <f>#N/A</f>
        <v>-33.120000000000005</v>
      </c>
      <c r="T94" s="147">
        <f>#N/A</f>
        <v>0.062022090059473234</v>
      </c>
      <c r="U94" s="112">
        <f>F94-травень!F94</f>
        <v>4</v>
      </c>
      <c r="V94" s="118">
        <f>G94-травень!G94</f>
        <v>0.76</v>
      </c>
      <c r="W94" s="117">
        <f>#N/A</f>
        <v>-3.24</v>
      </c>
      <c r="X94" s="147"/>
      <c r="Y94" s="197">
        <f>#N/A</f>
        <v>-0.812494891840059</v>
      </c>
    </row>
    <row r="95" spans="2:25" ht="18" hidden="1">
      <c r="B95" s="166" t="s">
        <v>47</v>
      </c>
      <c r="C95" s="58">
        <v>24061600</v>
      </c>
      <c r="D95" s="256"/>
      <c r="E95" s="125">
        <v>0</v>
      </c>
      <c r="F95" s="125">
        <f>E95</f>
        <v>0</v>
      </c>
      <c r="G95" s="126">
        <v>0</v>
      </c>
      <c r="H95" s="112">
        <f>#N/A</f>
        <v>0</v>
      </c>
      <c r="I95" s="213"/>
      <c r="J95" s="117">
        <f>#N/A</f>
        <v>0</v>
      </c>
      <c r="K95" s="224"/>
      <c r="L95" s="134"/>
      <c r="M95" s="134"/>
      <c r="N95" s="134"/>
      <c r="O95" s="134"/>
      <c r="P95" s="117">
        <f>#N/A</f>
        <v>0</v>
      </c>
      <c r="Q95" s="147" t="e">
        <f>#N/A</f>
        <v>#DIV/0!</v>
      </c>
      <c r="R95" s="117">
        <f>O95</f>
        <v>0</v>
      </c>
      <c r="S95" s="117">
        <f>#N/A</f>
        <v>0</v>
      </c>
      <c r="T95" s="147" t="e">
        <f>#N/A</f>
        <v>#DIV/0!</v>
      </c>
      <c r="U95" s="112">
        <f>F95-травень!F95</f>
        <v>0</v>
      </c>
      <c r="V95" s="118">
        <f>G95-травень!G95</f>
        <v>0</v>
      </c>
      <c r="W95" s="117">
        <f>#N/A</f>
        <v>0</v>
      </c>
      <c r="X95" s="224"/>
      <c r="Y95" s="197" t="e">
        <f>#N/A</f>
        <v>#DIV/0!</v>
      </c>
    </row>
    <row r="96" spans="2:25" ht="18">
      <c r="B96" s="20" t="s">
        <v>41</v>
      </c>
      <c r="C96" s="58">
        <v>19010000</v>
      </c>
      <c r="D96" s="256">
        <v>9050</v>
      </c>
      <c r="E96" s="125">
        <v>9050</v>
      </c>
      <c r="F96" s="125">
        <v>5903.05</v>
      </c>
      <c r="G96" s="126">
        <v>5289.85</v>
      </c>
      <c r="H96" s="112">
        <f>#N/A</f>
        <v>-613.1999999999998</v>
      </c>
      <c r="I96" s="213">
        <f>G96/F96</f>
        <v>0.8961214965145137</v>
      </c>
      <c r="J96" s="117">
        <f>#N/A</f>
        <v>-3760.1499999999996</v>
      </c>
      <c r="K96" s="147">
        <f>G96/E96</f>
        <v>0.5845138121546962</v>
      </c>
      <c r="L96" s="117"/>
      <c r="M96" s="117"/>
      <c r="N96" s="117"/>
      <c r="O96" s="117">
        <v>8033.94</v>
      </c>
      <c r="P96" s="117">
        <f>#N/A</f>
        <v>1016.0600000000004</v>
      </c>
      <c r="Q96" s="147">
        <f>#N/A</f>
        <v>1.1264709470073215</v>
      </c>
      <c r="R96" s="117">
        <v>5104.01</v>
      </c>
      <c r="S96" s="117">
        <f>#N/A</f>
        <v>185.84000000000015</v>
      </c>
      <c r="T96" s="147">
        <f>#N/A</f>
        <v>1.0364105869698532</v>
      </c>
      <c r="U96" s="112">
        <f>F96-травень!F96</f>
        <v>1.1000000000003638</v>
      </c>
      <c r="V96" s="118">
        <f>G96-травень!G96</f>
        <v>1.1300000000001091</v>
      </c>
      <c r="W96" s="117">
        <f>#N/A</f>
        <v>0.02999999999974534</v>
      </c>
      <c r="X96" s="147">
        <f>V96/U96</f>
        <v>1.0272727272724866</v>
      </c>
      <c r="Y96" s="197">
        <f>#N/A</f>
        <v>-0.09006036003746831</v>
      </c>
    </row>
    <row r="97" spans="2:25" ht="31.5" hidden="1">
      <c r="B97" s="20" t="s">
        <v>45</v>
      </c>
      <c r="C97" s="58">
        <v>19050000</v>
      </c>
      <c r="D97" s="242"/>
      <c r="E97" s="125">
        <v>0</v>
      </c>
      <c r="F97" s="125">
        <v>0</v>
      </c>
      <c r="G97" s="126">
        <v>0</v>
      </c>
      <c r="H97" s="112">
        <f>#N/A</f>
        <v>0</v>
      </c>
      <c r="I97" s="213"/>
      <c r="J97" s="117">
        <f>#N/A</f>
        <v>0</v>
      </c>
      <c r="K97" s="147"/>
      <c r="L97" s="117"/>
      <c r="M97" s="117"/>
      <c r="N97" s="117"/>
      <c r="O97" s="117">
        <v>0.1</v>
      </c>
      <c r="P97" s="117">
        <f>#N/A</f>
        <v>-0.1</v>
      </c>
      <c r="Q97" s="147">
        <f>#N/A</f>
        <v>0</v>
      </c>
      <c r="R97" s="117">
        <v>0.05</v>
      </c>
      <c r="S97" s="117">
        <f>#N/A</f>
        <v>-0.05</v>
      </c>
      <c r="T97" s="147">
        <f>#N/A</f>
        <v>0</v>
      </c>
      <c r="U97" s="112">
        <f>F97-квітень!F97</f>
        <v>-2844.45</v>
      </c>
      <c r="V97" s="118">
        <f>G97-березень!G96</f>
        <v>0</v>
      </c>
      <c r="W97" s="117">
        <f>#N/A</f>
        <v>2844.45</v>
      </c>
      <c r="X97" s="224"/>
      <c r="Y97" s="197">
        <f>#N/A</f>
        <v>0</v>
      </c>
    </row>
    <row r="98" spans="2:25" ht="30.75">
      <c r="B98" s="22" t="s">
        <v>42</v>
      </c>
      <c r="C98" s="58"/>
      <c r="D98" s="127">
        <f>D94+D97+D95+D96</f>
        <v>9093</v>
      </c>
      <c r="E98" s="127">
        <f>E94+E97+E95+E96</f>
        <v>9093</v>
      </c>
      <c r="F98" s="127">
        <f>F94+F97+F95+F96</f>
        <v>5922.05</v>
      </c>
      <c r="G98" s="128">
        <f>G94+G97+G95+G96</f>
        <v>5292.04</v>
      </c>
      <c r="H98" s="129">
        <f>#N/A</f>
        <v>-630.0100000000002</v>
      </c>
      <c r="I98" s="216">
        <f>G98/F98</f>
        <v>0.8936162308660007</v>
      </c>
      <c r="J98" s="131">
        <f>#N/A</f>
        <v>-3800.96</v>
      </c>
      <c r="K98" s="151">
        <f>G98/E98</f>
        <v>0.5819905421752997</v>
      </c>
      <c r="L98" s="131"/>
      <c r="M98" s="131"/>
      <c r="N98" s="131"/>
      <c r="O98" s="131">
        <v>8083.21</v>
      </c>
      <c r="P98" s="131">
        <f>#N/A</f>
        <v>1009.79</v>
      </c>
      <c r="Q98" s="151">
        <f>#N/A</f>
        <v>1.1249243802895137</v>
      </c>
      <c r="R98" s="131">
        <v>5139.37</v>
      </c>
      <c r="S98" s="117">
        <f>#N/A</f>
        <v>152.67000000000007</v>
      </c>
      <c r="T98" s="147">
        <f>#N/A</f>
        <v>1.0297059756351459</v>
      </c>
      <c r="U98" s="129">
        <f>F98-травень!F98</f>
        <v>5.100000000000364</v>
      </c>
      <c r="V98" s="174">
        <f>G98-травень!G98</f>
        <v>1.889999999999418</v>
      </c>
      <c r="W98" s="131">
        <f>#N/A</f>
        <v>-3.210000000000946</v>
      </c>
      <c r="X98" s="151">
        <f>V98/U98</f>
        <v>0.37058823529397705</v>
      </c>
      <c r="Y98" s="197">
        <f>#N/A</f>
        <v>-0.09521840465436782</v>
      </c>
    </row>
    <row r="99" spans="2:25" ht="30.75">
      <c r="B99" s="12" t="s">
        <v>36</v>
      </c>
      <c r="C99" s="34">
        <v>24110900</v>
      </c>
      <c r="D99" s="229">
        <v>19.413</v>
      </c>
      <c r="E99" s="125">
        <v>47.413</v>
      </c>
      <c r="F99" s="125">
        <v>24.52</v>
      </c>
      <c r="G99" s="126">
        <v>28.09</v>
      </c>
      <c r="H99" s="112">
        <f>#N/A</f>
        <v>3.5700000000000003</v>
      </c>
      <c r="I99" s="213">
        <f>G99/F99</f>
        <v>1.1455954323001631</v>
      </c>
      <c r="J99" s="117">
        <f>#N/A</f>
        <v>-19.322999999999997</v>
      </c>
      <c r="K99" s="147">
        <f>G99/E99</f>
        <v>0.5924535464956868</v>
      </c>
      <c r="L99" s="117"/>
      <c r="M99" s="117"/>
      <c r="N99" s="117"/>
      <c r="O99" s="117">
        <v>37.96</v>
      </c>
      <c r="P99" s="117">
        <f>#N/A</f>
        <v>9.452999999999996</v>
      </c>
      <c r="Q99" s="147">
        <f>#N/A</f>
        <v>1.2490252897787144</v>
      </c>
      <c r="R99" s="131">
        <v>7.74</v>
      </c>
      <c r="S99" s="117">
        <f>#N/A</f>
        <v>20.35</v>
      </c>
      <c r="T99" s="147">
        <f>#N/A</f>
        <v>3.6291989664082687</v>
      </c>
      <c r="U99" s="112">
        <f>F99-травень!F99</f>
        <v>8.77</v>
      </c>
      <c r="V99" s="118">
        <f>G99-травень!G99</f>
        <v>9.399999999999999</v>
      </c>
      <c r="W99" s="117">
        <f>#N/A</f>
        <v>0.629999999999999</v>
      </c>
      <c r="X99" s="147">
        <f>V99/U99</f>
        <v>1.0718358038768527</v>
      </c>
      <c r="Y99" s="197">
        <f>#N/A</f>
        <v>2.3801736766295543</v>
      </c>
    </row>
    <row r="100" spans="2:25" ht="18" hidden="1">
      <c r="B100" s="83"/>
      <c r="C100" s="34">
        <v>21110000</v>
      </c>
      <c r="D100" s="229"/>
      <c r="E100" s="125">
        <v>0</v>
      </c>
      <c r="F100" s="125">
        <v>0</v>
      </c>
      <c r="G100" s="126"/>
      <c r="H100" s="112" t="e">
        <f>#N/A</f>
        <v>#N/A</v>
      </c>
      <c r="I100" s="213"/>
      <c r="J100" s="117" t="e">
        <f>#N/A</f>
        <v>#N/A</v>
      </c>
      <c r="K100" s="147"/>
      <c r="L100" s="117"/>
      <c r="M100" s="117"/>
      <c r="N100" s="117"/>
      <c r="O100" s="117"/>
      <c r="P100" s="117"/>
      <c r="Q100" s="147"/>
      <c r="R100" s="117">
        <v>18.76</v>
      </c>
      <c r="S100" s="131" t="e">
        <f>#N/A</f>
        <v>#N/A</v>
      </c>
      <c r="T100" s="147">
        <f>#N/A</f>
        <v>0</v>
      </c>
      <c r="U100" s="114" t="e">
        <f>F100-#REF!</f>
        <v>#REF!</v>
      </c>
      <c r="V100" s="118" t="e">
        <f>G100-#REF!</f>
        <v>#REF!</v>
      </c>
      <c r="W100" s="117" t="e">
        <f>#N/A</f>
        <v>#N/A</v>
      </c>
      <c r="X100" s="147"/>
      <c r="Y100" s="197">
        <f>#N/A</f>
        <v>0</v>
      </c>
    </row>
    <row r="101" spans="2:25" ht="23.25" customHeight="1">
      <c r="B101" s="181" t="s">
        <v>30</v>
      </c>
      <c r="C101" s="182"/>
      <c r="D101" s="183">
        <f>D87+D88+D93+D98+D99</f>
        <v>52585.413</v>
      </c>
      <c r="E101" s="183">
        <f>E87+E88+E93+E98+E99</f>
        <v>55946.452000000005</v>
      </c>
      <c r="F101" s="183">
        <f>F87+F88+F93+F98+F99</f>
        <v>24473.6</v>
      </c>
      <c r="G101" s="183">
        <f>G87+G88+G93+G98+G99</f>
        <v>11599.47</v>
      </c>
      <c r="H101" s="184">
        <f>G101-F101</f>
        <v>-12874.13</v>
      </c>
      <c r="I101" s="217">
        <f>G101/F101</f>
        <v>0.4739584695345188</v>
      </c>
      <c r="J101" s="177">
        <f>G101-E101</f>
        <v>-44346.982</v>
      </c>
      <c r="K101" s="178">
        <f>G101/E101</f>
        <v>0.20733164633925308</v>
      </c>
      <c r="L101" s="177"/>
      <c r="M101" s="177"/>
      <c r="N101" s="177"/>
      <c r="O101" s="177">
        <v>34561.77</v>
      </c>
      <c r="P101" s="177">
        <f>E101-O101</f>
        <v>21384.682000000008</v>
      </c>
      <c r="Q101" s="178">
        <f>E101/O101</f>
        <v>1.6187380449554525</v>
      </c>
      <c r="R101" s="183">
        <v>13376.14</v>
      </c>
      <c r="S101" s="177">
        <f>G101-R101</f>
        <v>-1776.67</v>
      </c>
      <c r="T101" s="178">
        <f>#N/A</f>
        <v>0.8671761808713127</v>
      </c>
      <c r="U101" s="183">
        <f>U87+U88+U93+U98+U99</f>
        <v>3515.8700000000003</v>
      </c>
      <c r="V101" s="183">
        <f>V87+V88+V93+V98+V99</f>
        <v>1240.4599999999996</v>
      </c>
      <c r="W101" s="177">
        <f>V101-U101</f>
        <v>-2275.4100000000008</v>
      </c>
      <c r="X101" s="178">
        <f>V101/U101</f>
        <v>0.35281736810519143</v>
      </c>
      <c r="Y101" s="197">
        <f>T101-Q101</f>
        <v>-0.7515618640841398</v>
      </c>
    </row>
    <row r="102" spans="2:25" ht="17.25">
      <c r="B102" s="185" t="s">
        <v>103</v>
      </c>
      <c r="C102" s="182"/>
      <c r="D102" s="251">
        <f>D80+D101</f>
        <v>1680503.113</v>
      </c>
      <c r="E102" s="183">
        <f>E80+E101</f>
        <v>1709481.2519999999</v>
      </c>
      <c r="F102" s="183">
        <f>F80+F101</f>
        <v>786105.12</v>
      </c>
      <c r="G102" s="183">
        <f>G80+G101</f>
        <v>812753.31</v>
      </c>
      <c r="H102" s="184">
        <f>G102-F102</f>
        <v>26648.19000000006</v>
      </c>
      <c r="I102" s="217">
        <f>G102/F102</f>
        <v>1.0338990159484014</v>
      </c>
      <c r="J102" s="177">
        <f>G102-E102</f>
        <v>-896727.9419999998</v>
      </c>
      <c r="K102" s="178">
        <f>G102/E102</f>
        <v>0.47543856304310034</v>
      </c>
      <c r="L102" s="177"/>
      <c r="M102" s="177"/>
      <c r="N102" s="177"/>
      <c r="O102" s="177">
        <f>O80+O101</f>
        <v>1433558.23</v>
      </c>
      <c r="P102" s="177">
        <f>E102-O102</f>
        <v>275923.0219999999</v>
      </c>
      <c r="Q102" s="178">
        <f>E102/O102</f>
        <v>1.1924742338509682</v>
      </c>
      <c r="R102" s="177">
        <f>R80+R101</f>
        <v>656924.88</v>
      </c>
      <c r="S102" s="177">
        <f>S80+S101</f>
        <v>155828.43000000008</v>
      </c>
      <c r="T102" s="178">
        <f>#N/A</f>
        <v>1.2372089027896158</v>
      </c>
      <c r="U102" s="184">
        <f>U80+U101</f>
        <v>104572.27000000005</v>
      </c>
      <c r="V102" s="184">
        <f>V80+V101</f>
        <v>129012.93000000005</v>
      </c>
      <c r="W102" s="177">
        <f>V102-U102</f>
        <v>24440.660000000003</v>
      </c>
      <c r="X102" s="178">
        <f>V102/U102</f>
        <v>1.2337202778518626</v>
      </c>
      <c r="Y102" s="197">
        <f>T102-Q102</f>
        <v>0.04473466893864764</v>
      </c>
    </row>
    <row r="103" spans="2:24" ht="15">
      <c r="B103" s="262" t="s">
        <v>159</v>
      </c>
      <c r="D103" s="4"/>
      <c r="F103" s="78"/>
      <c r="G103" s="4"/>
      <c r="U103" s="226"/>
      <c r="V103" s="226"/>
      <c r="W103" s="226"/>
      <c r="X103" s="226"/>
    </row>
    <row r="104" spans="2:24" ht="15">
      <c r="B104" s="4" t="s">
        <v>160</v>
      </c>
      <c r="C104" s="264">
        <v>0</v>
      </c>
      <c r="D104" s="4" t="s">
        <v>161</v>
      </c>
      <c r="F104" s="78"/>
      <c r="G104" s="4"/>
      <c r="U104" s="226"/>
      <c r="V104" s="226"/>
      <c r="W104" s="226"/>
      <c r="X104" s="226"/>
    </row>
    <row r="105" spans="2:22" ht="30.75">
      <c r="B105" s="266" t="s">
        <v>162</v>
      </c>
      <c r="C105" s="267"/>
      <c r="D105" s="4" t="s">
        <v>24</v>
      </c>
      <c r="F105" s="78"/>
      <c r="G105" s="267">
        <f>IF(H80&lt;0,ABS(H80/C104),0)</f>
        <v>0</v>
      </c>
      <c r="H105" s="268"/>
      <c r="I105" s="268"/>
      <c r="J105" s="268"/>
      <c r="V105" s="267">
        <f>IF(W80&lt;0,ABS(W80/C104),0)</f>
        <v>0</v>
      </c>
    </row>
    <row r="106" spans="2:7" ht="30.75">
      <c r="B106" s="270" t="s">
        <v>163</v>
      </c>
      <c r="C106" s="271">
        <v>43278</v>
      </c>
      <c r="D106" s="267"/>
      <c r="E106" s="267">
        <v>16149.6</v>
      </c>
      <c r="F106" s="78"/>
      <c r="G106" s="4" t="s">
        <v>164</v>
      </c>
    </row>
    <row r="107" spans="3:10" ht="15">
      <c r="C107" s="271">
        <v>43277</v>
      </c>
      <c r="D107" s="267"/>
      <c r="E107" s="267">
        <v>15734.7</v>
      </c>
      <c r="F107" s="78"/>
      <c r="G107" s="500"/>
      <c r="H107" s="500"/>
      <c r="I107" s="273"/>
      <c r="J107" s="274"/>
    </row>
    <row r="108" spans="3:10" ht="15">
      <c r="C108" s="271">
        <v>43276</v>
      </c>
      <c r="D108" s="267"/>
      <c r="E108" s="267">
        <v>6439.8</v>
      </c>
      <c r="F108" s="78"/>
      <c r="G108" s="500"/>
      <c r="H108" s="500"/>
      <c r="I108" s="273"/>
      <c r="J108" s="276"/>
    </row>
    <row r="109" spans="3:10" ht="15">
      <c r="C109" s="271"/>
      <c r="D109" s="4"/>
      <c r="F109" s="278"/>
      <c r="G109" s="501"/>
      <c r="H109" s="501"/>
      <c r="I109" s="279"/>
      <c r="J109" s="274"/>
    </row>
    <row r="110" spans="2:10" ht="16.5">
      <c r="B110" s="502" t="s">
        <v>165</v>
      </c>
      <c r="C110" s="503"/>
      <c r="D110" s="280"/>
      <c r="E110" s="434">
        <v>1.88</v>
      </c>
      <c r="F110" s="282" t="s">
        <v>166</v>
      </c>
      <c r="G110" s="500"/>
      <c r="H110" s="500"/>
      <c r="I110" s="283"/>
      <c r="J110" s="274"/>
    </row>
    <row r="111" spans="4:10" ht="15">
      <c r="D111" s="4"/>
      <c r="F111" s="278"/>
      <c r="G111" s="500"/>
      <c r="H111" s="500"/>
      <c r="I111" s="278"/>
      <c r="J111" s="281"/>
    </row>
    <row r="112" spans="2:10" ht="15" customHeight="1">
      <c r="B112" s="499"/>
      <c r="C112" s="499"/>
      <c r="D112" s="285"/>
      <c r="E112" s="286"/>
      <c r="F112" s="278"/>
      <c r="G112" s="500"/>
      <c r="H112" s="500"/>
      <c r="I112" s="278"/>
      <c r="J112" s="281"/>
    </row>
    <row r="113" spans="2:24" ht="15">
      <c r="B113" s="287" t="s">
        <v>168</v>
      </c>
      <c r="D113" s="278">
        <f>D60+D63+D64</f>
        <v>2095</v>
      </c>
      <c r="E113" s="278">
        <f>#N/A</f>
        <v>2095</v>
      </c>
      <c r="F113" s="278">
        <f>#N/A</f>
        <v>1011</v>
      </c>
      <c r="G113" s="435">
        <f>#N/A</f>
        <v>983.49</v>
      </c>
      <c r="H113" s="278">
        <f>#N/A</f>
        <v>-27.509999999999952</v>
      </c>
      <c r="I113" s="436">
        <f>G113/F113</f>
        <v>0.9727893175074184</v>
      </c>
      <c r="J113" s="278">
        <f>#N/A</f>
        <v>-1111.51</v>
      </c>
      <c r="K113" s="436">
        <f>G113/E113</f>
        <v>0.46944630071599047</v>
      </c>
      <c r="L113" s="278">
        <f>#N/A</f>
        <v>0</v>
      </c>
      <c r="M113" s="278">
        <f>#N/A</f>
        <v>0</v>
      </c>
      <c r="N113" s="278">
        <f>#N/A</f>
        <v>0</v>
      </c>
      <c r="O113" s="278">
        <f>#N/A</f>
        <v>1956.6200000000001</v>
      </c>
      <c r="P113" s="278">
        <f>#N/A</f>
        <v>138.37999999999994</v>
      </c>
      <c r="Q113" s="436">
        <f>E113/O113</f>
        <v>1.0707240036389283</v>
      </c>
      <c r="R113" s="278">
        <f>#N/A</f>
        <v>910.45</v>
      </c>
      <c r="S113" s="278">
        <f>#N/A</f>
        <v>73.04000000000009</v>
      </c>
      <c r="T113" s="436">
        <f>G113/R113</f>
        <v>1.0802240650227908</v>
      </c>
      <c r="U113" s="278">
        <f>#N/A</f>
        <v>184</v>
      </c>
      <c r="V113" s="288">
        <f>#N/A</f>
        <v>148.47000000000006</v>
      </c>
      <c r="W113" s="278">
        <f>#N/A</f>
        <v>-35.529999999999944</v>
      </c>
      <c r="X113" s="436">
        <f>V113/U113</f>
        <v>0.8069021739130438</v>
      </c>
    </row>
    <row r="114" spans="4:9" ht="15">
      <c r="D114" s="265"/>
      <c r="F114" s="78"/>
      <c r="G114" s="4"/>
      <c r="I114" s="267"/>
    </row>
    <row r="115" spans="2:10" ht="15">
      <c r="B115" s="4" t="s">
        <v>204</v>
      </c>
      <c r="D115" s="267">
        <f>D9+D15+D18+D19+D23+D54+D57+D59+D71+D78+D94+D96</f>
        <v>1592543.3</v>
      </c>
      <c r="E115" s="267">
        <f>E9+E15+E18+E19+E23+E54+E57+E59+E71+E78+E94+E96</f>
        <v>1615160.4</v>
      </c>
      <c r="F115" s="267">
        <f>F9+F15+F18+F19+F23+F54+F57+F59+F71+F78+F94+F96</f>
        <v>742646.77</v>
      </c>
      <c r="G115" s="289">
        <f>G9+G15+G18+G19+G23+G54+G57+G59+G71+G78+G94+G96</f>
        <v>780532.2699999999</v>
      </c>
      <c r="H115" s="267">
        <f>H9+H15+H18+H19+H23+H54+H57+H59+H71+H78+H94+H96</f>
        <v>37885.5</v>
      </c>
      <c r="I115" s="163">
        <f>G115/F115</f>
        <v>1.051014158453823</v>
      </c>
      <c r="J115" s="267"/>
    </row>
    <row r="116" spans="2:10" ht="15">
      <c r="B116" s="4" t="s">
        <v>205</v>
      </c>
      <c r="D116" s="267">
        <f>D55+D58+D60+D63+D64+D65+D72+D76+D89+D90+D91+D92+D99</f>
        <v>65675.813</v>
      </c>
      <c r="E116" s="267">
        <f>E55+E58+E60+E63+E64+E65+E72+E76+E89+E90+E91+E92+E99</f>
        <v>71036.852</v>
      </c>
      <c r="F116" s="267">
        <f>F55+F58+F60+F63+F64+F65+F72+F76+F89+F90+F91+F92+F99</f>
        <v>30879.710000000003</v>
      </c>
      <c r="G116" s="289">
        <f>G55+G58+G60+G63+G64+G65+G72+G76+G89+G90+G91+G92+G99</f>
        <v>19492.27</v>
      </c>
      <c r="H116" s="267">
        <f>H55+H58+H60+H63+H64+H65+H72+H76+H89+H90+H91+H92+H99</f>
        <v>-11387.44</v>
      </c>
      <c r="I116" s="163">
        <f>G116/F116</f>
        <v>0.6312322881270581</v>
      </c>
      <c r="J116" s="267"/>
    </row>
    <row r="117" spans="2:10" ht="15">
      <c r="B117" s="4" t="s">
        <v>206</v>
      </c>
      <c r="D117" s="267">
        <f>D56+D62+D66+D79</f>
        <v>22284</v>
      </c>
      <c r="E117" s="267">
        <f>E56+E62+E66+E79</f>
        <v>23284</v>
      </c>
      <c r="F117" s="267">
        <f>F56+F62+F66+F79</f>
        <v>12578.64</v>
      </c>
      <c r="G117" s="289">
        <f>G56+G62+G66+G79</f>
        <v>12719.24</v>
      </c>
      <c r="H117" s="267">
        <f>H56+H62+H66+H79</f>
        <v>140.5999999999998</v>
      </c>
      <c r="I117" s="163">
        <f>G117/F117</f>
        <v>1.0111776789859634</v>
      </c>
      <c r="J117" s="267"/>
    </row>
    <row r="118" spans="2:10" ht="15">
      <c r="B118" s="365" t="s">
        <v>207</v>
      </c>
      <c r="C118" s="438"/>
      <c r="D118" s="439">
        <f>D115+D116+D117</f>
        <v>1680503.1130000001</v>
      </c>
      <c r="E118" s="439">
        <f>E115+E116+E117</f>
        <v>1709481.2519999999</v>
      </c>
      <c r="F118" s="439">
        <f>F115+F116+F117</f>
        <v>786105.12</v>
      </c>
      <c r="G118" s="440">
        <f>G115+G116+G117</f>
        <v>812743.7799999999</v>
      </c>
      <c r="H118" s="439">
        <f>H115+H116+H117</f>
        <v>26638.659999999996</v>
      </c>
      <c r="I118" s="441">
        <f>G118/F118</f>
        <v>1.033886892887811</v>
      </c>
      <c r="J118" s="267"/>
    </row>
    <row r="119" spans="4:10" ht="15">
      <c r="D119" s="267">
        <f>D118-D102</f>
        <v>0</v>
      </c>
      <c r="E119" s="267">
        <f>E118-E102</f>
        <v>0</v>
      </c>
      <c r="F119" s="267">
        <f>F118-F102</f>
        <v>0</v>
      </c>
      <c r="G119" s="289">
        <f>G118-G102</f>
        <v>-9.530000000144355</v>
      </c>
      <c r="H119" s="267">
        <f>H118-H102</f>
        <v>-9.53000000006432</v>
      </c>
      <c r="I119" s="163"/>
      <c r="J119" s="267"/>
    </row>
    <row r="120" spans="4:7" ht="15">
      <c r="D120" s="4"/>
      <c r="E120" s="4" t="s">
        <v>164</v>
      </c>
      <c r="F120" s="78"/>
      <c r="G120" s="4"/>
    </row>
    <row r="121" spans="2:7" ht="15">
      <c r="B121" s="272"/>
      <c r="D121" s="4"/>
      <c r="E121" s="267"/>
      <c r="F121" s="78"/>
      <c r="G121" s="4"/>
    </row>
    <row r="122" spans="2:8" ht="15">
      <c r="B122" s="272"/>
      <c r="D122" s="4"/>
      <c r="E122" s="267"/>
      <c r="F122" s="78"/>
      <c r="G122" s="4"/>
      <c r="H122" s="267"/>
    </row>
    <row r="123" spans="4:11" ht="15">
      <c r="D123" s="3"/>
      <c r="F123" s="78"/>
      <c r="G123" s="4"/>
      <c r="H123" s="267"/>
      <c r="I123" s="3"/>
      <c r="K123" s="3"/>
    </row>
    <row r="124" spans="2:17" ht="18">
      <c r="B124" s="83" t="s">
        <v>256</v>
      </c>
      <c r="C124" s="34">
        <v>25000000</v>
      </c>
      <c r="D124" s="125">
        <v>90449.655</v>
      </c>
      <c r="E124" s="125">
        <v>98626.6</v>
      </c>
      <c r="F124" s="125"/>
      <c r="G124" s="112">
        <v>43822.06</v>
      </c>
      <c r="H124" s="114"/>
      <c r="I124" s="147"/>
      <c r="J124" s="117">
        <f>G124-E124</f>
        <v>-54804.54000000001</v>
      </c>
      <c r="K124" s="147">
        <f>G124/E124</f>
        <v>0.44432293113622484</v>
      </c>
      <c r="L124" s="3"/>
      <c r="O124" s="439">
        <v>87745.5</v>
      </c>
      <c r="P124" s="439">
        <f>E124-O124</f>
        <v>10881.100000000006</v>
      </c>
      <c r="Q124" s="441">
        <f>E124/O124</f>
        <v>1.1240074989600608</v>
      </c>
    </row>
    <row r="125" spans="2:17" ht="17.25">
      <c r="B125" s="13" t="s">
        <v>30</v>
      </c>
      <c r="C125" s="294"/>
      <c r="D125" s="295">
        <f>D124+D101</f>
        <v>143035.068</v>
      </c>
      <c r="E125" s="295">
        <f>#N/A</f>
        <v>154573.05200000003</v>
      </c>
      <c r="F125" s="295">
        <f>#N/A</f>
        <v>24473.6</v>
      </c>
      <c r="G125" s="295">
        <f>#N/A</f>
        <v>55421.53</v>
      </c>
      <c r="H125" s="295">
        <f>#N/A</f>
        <v>-12874.13</v>
      </c>
      <c r="I125" s="447">
        <f>#N/A</f>
        <v>2.264543426385983</v>
      </c>
      <c r="J125" s="295">
        <f>#N/A</f>
        <v>-99151.52200000001</v>
      </c>
      <c r="K125" s="447">
        <f>G125/F125</f>
        <v>2.264543426385983</v>
      </c>
      <c r="L125" s="3"/>
      <c r="O125" s="439">
        <v>122307.2</v>
      </c>
      <c r="P125" s="439">
        <f>E125-O125</f>
        <v>32265.852000000028</v>
      </c>
      <c r="Q125" s="441">
        <f>E125/O125</f>
        <v>1.263809914706575</v>
      </c>
    </row>
    <row r="126" spans="2:17" ht="17.25">
      <c r="B126" s="302" t="s">
        <v>175</v>
      </c>
      <c r="C126" s="294"/>
      <c r="D126" s="295">
        <f>D102+D124</f>
        <v>1770952.768</v>
      </c>
      <c r="E126" s="295">
        <f>#N/A</f>
        <v>1808107.852</v>
      </c>
      <c r="F126" s="295">
        <f>#N/A</f>
        <v>786105.12</v>
      </c>
      <c r="G126" s="295">
        <f>#N/A</f>
        <v>856575.3700000001</v>
      </c>
      <c r="H126" s="295">
        <f>#N/A</f>
        <v>26648.19000000006</v>
      </c>
      <c r="I126" s="447">
        <f>#N/A</f>
        <v>1.0896448174768283</v>
      </c>
      <c r="J126" s="295">
        <f>#N/A</f>
        <v>-951532.4819999998</v>
      </c>
      <c r="K126" s="447">
        <f>G126/F126</f>
        <v>1.0896448174768283</v>
      </c>
      <c r="L126" s="3"/>
      <c r="O126" s="439">
        <f>O102+O124</f>
        <v>1521303.73</v>
      </c>
      <c r="P126" s="439">
        <f>E126-O126</f>
        <v>286804.122</v>
      </c>
      <c r="Q126" s="441">
        <f>E126/O126</f>
        <v>1.1885252210615431</v>
      </c>
    </row>
    <row r="127" spans="2:12" ht="15">
      <c r="B127" s="304" t="s">
        <v>176</v>
      </c>
      <c r="C127" s="305">
        <v>40000000</v>
      </c>
      <c r="D127" s="306">
        <v>1499675.196</v>
      </c>
      <c r="E127" s="306">
        <v>1499675.2</v>
      </c>
      <c r="F127" s="460">
        <v>322086.73</v>
      </c>
      <c r="G127" s="460"/>
      <c r="H127" s="306">
        <f>G127-F127</f>
        <v>-322086.73</v>
      </c>
      <c r="I127" s="448">
        <f>#N/A</f>
        <v>0</v>
      </c>
      <c r="J127" s="29">
        <f>G127-E127</f>
        <v>-1499675.2</v>
      </c>
      <c r="K127" s="448">
        <f>G127/E127</f>
        <v>0</v>
      </c>
      <c r="L127" s="3"/>
    </row>
    <row r="128" spans="2:12" ht="26.25">
      <c r="B128" s="450" t="s">
        <v>211</v>
      </c>
      <c r="C128" s="451">
        <v>41033900</v>
      </c>
      <c r="D128" s="452">
        <v>249086.1</v>
      </c>
      <c r="E128" s="453">
        <v>249086.1</v>
      </c>
      <c r="F128" s="453">
        <v>38359.2</v>
      </c>
      <c r="G128" s="452">
        <v>38359.2</v>
      </c>
      <c r="H128" s="452">
        <f>G128-F128</f>
        <v>0</v>
      </c>
      <c r="I128" s="145">
        <f>#N/A</f>
        <v>1</v>
      </c>
      <c r="J128" s="74">
        <f>G128-E128</f>
        <v>-210726.90000000002</v>
      </c>
      <c r="K128" s="145">
        <f>G128/E128</f>
        <v>0.15399976152824263</v>
      </c>
      <c r="L128" s="3"/>
    </row>
    <row r="129" spans="2:12" ht="26.25">
      <c r="B129" s="450" t="s">
        <v>212</v>
      </c>
      <c r="C129" s="451">
        <v>41034200</v>
      </c>
      <c r="D129" s="452">
        <v>226186</v>
      </c>
      <c r="E129" s="452">
        <v>226186</v>
      </c>
      <c r="F129" s="452">
        <v>44005.9</v>
      </c>
      <c r="G129" s="452">
        <v>44005.9</v>
      </c>
      <c r="H129" s="452">
        <f>G129-F129</f>
        <v>0</v>
      </c>
      <c r="I129" s="145">
        <f>#N/A</f>
        <v>1</v>
      </c>
      <c r="J129" s="74">
        <f>G129-E129</f>
        <v>-182180.1</v>
      </c>
      <c r="K129" s="145">
        <f>G129/E129</f>
        <v>0.19455625016579275</v>
      </c>
      <c r="L129" s="3"/>
    </row>
    <row r="130" spans="2:12" ht="15">
      <c r="B130" s="304" t="s">
        <v>208</v>
      </c>
      <c r="C130" s="305"/>
      <c r="D130" s="306">
        <v>0</v>
      </c>
      <c r="E130" s="306">
        <v>0</v>
      </c>
      <c r="F130" s="306">
        <v>0</v>
      </c>
      <c r="G130" s="306">
        <v>0</v>
      </c>
      <c r="H130" s="306">
        <f>G130-F130</f>
        <v>0</v>
      </c>
      <c r="I130" s="448" t="e">
        <f>#N/A</f>
        <v>#DIV/0!</v>
      </c>
      <c r="J130" s="29">
        <f>G130-E130</f>
        <v>0</v>
      </c>
      <c r="K130" s="448" t="e">
        <f>G130/E130</f>
        <v>#DIV/0!</v>
      </c>
      <c r="L130" s="3"/>
    </row>
    <row r="131" spans="2:12" ht="18">
      <c r="B131" s="312" t="s">
        <v>179</v>
      </c>
      <c r="C131" s="313"/>
      <c r="D131" s="314">
        <f>D126+D127+D130</f>
        <v>3270627.9639999997</v>
      </c>
      <c r="E131" s="314">
        <f>#N/A</f>
        <v>3307783.052</v>
      </c>
      <c r="F131" s="314">
        <f>#N/A</f>
        <v>1108191.85</v>
      </c>
      <c r="G131" s="314">
        <f>#N/A</f>
        <v>856575.3700000001</v>
      </c>
      <c r="H131" s="314">
        <f>#N/A</f>
        <v>-295438.5399999999</v>
      </c>
      <c r="I131" s="449">
        <f>#N/A</f>
        <v>0.7729486279835031</v>
      </c>
      <c r="J131" s="314">
        <f>#N/A</f>
        <v>-2451207.682</v>
      </c>
      <c r="K131" s="449">
        <f>G131/E131</f>
        <v>0.2589575424186556</v>
      </c>
      <c r="L131" s="3"/>
    </row>
    <row r="132" spans="4:7" ht="15">
      <c r="D132" s="4"/>
      <c r="F132" s="78"/>
      <c r="G132" s="4"/>
    </row>
    <row r="133" spans="4:7" ht="15">
      <c r="D133" s="4"/>
      <c r="F133" s="78"/>
      <c r="G133" s="4"/>
    </row>
    <row r="134" spans="4:7" ht="15">
      <c r="D134" s="267"/>
      <c r="F134" s="78"/>
      <c r="G134" s="4"/>
    </row>
    <row r="135" spans="4:7" ht="15">
      <c r="D135" s="267"/>
      <c r="F135" s="78"/>
      <c r="G135" s="4"/>
    </row>
    <row r="136" spans="4:7" ht="15">
      <c r="D136" s="267"/>
      <c r="F136" s="78"/>
      <c r="G136" s="4"/>
    </row>
    <row r="137" spans="4:7" ht="15">
      <c r="D137" s="267"/>
      <c r="F137" s="78"/>
      <c r="G137" s="4"/>
    </row>
    <row r="138" spans="2:7" ht="15">
      <c r="B138" s="320" t="s">
        <v>180</v>
      </c>
      <c r="D138" s="4"/>
      <c r="F138" s="78"/>
      <c r="G138" s="4"/>
    </row>
    <row r="139" spans="2:26" ht="30.75">
      <c r="B139" s="321" t="s">
        <v>181</v>
      </c>
      <c r="C139" s="322">
        <v>13010200</v>
      </c>
      <c r="D139" s="323">
        <f>#N/A</f>
        <v>0</v>
      </c>
      <c r="E139" s="323">
        <f>#N/A</f>
        <v>0</v>
      </c>
      <c r="F139" s="323">
        <f>#N/A</f>
        <v>0</v>
      </c>
      <c r="G139" s="323">
        <f>#N/A</f>
        <v>0</v>
      </c>
      <c r="H139" s="323">
        <f>#N/A</f>
        <v>0</v>
      </c>
      <c r="I139" s="357">
        <f>#N/A</f>
        <v>0</v>
      </c>
      <c r="J139" s="323">
        <f>#N/A</f>
        <v>0</v>
      </c>
      <c r="K139" s="357">
        <f>#N/A</f>
        <v>0</v>
      </c>
      <c r="L139" s="323">
        <f>#N/A</f>
        <v>0</v>
      </c>
      <c r="M139" s="323">
        <f>#N/A</f>
        <v>0</v>
      </c>
      <c r="N139" s="323">
        <f>#N/A</f>
        <v>0</v>
      </c>
      <c r="O139" s="323">
        <f>#N/A</f>
        <v>0.49</v>
      </c>
      <c r="P139" s="323">
        <f>#N/A</f>
        <v>-0.49</v>
      </c>
      <c r="Q139" s="357">
        <f>#N/A</f>
        <v>0</v>
      </c>
      <c r="R139" s="323">
        <f>#N/A</f>
        <v>0.49</v>
      </c>
      <c r="S139" s="323">
        <f>#N/A</f>
        <v>-0.49</v>
      </c>
      <c r="T139" s="357">
        <f>#N/A</f>
        <v>0</v>
      </c>
      <c r="U139" s="323">
        <f>#N/A</f>
        <v>0</v>
      </c>
      <c r="V139" s="323">
        <f>#N/A</f>
        <v>0</v>
      </c>
      <c r="W139" s="323">
        <f>#N/A</f>
        <v>0</v>
      </c>
      <c r="X139" s="357">
        <f>#N/A</f>
        <v>0</v>
      </c>
      <c r="Y139" s="446">
        <f>T139-Q139</f>
        <v>0</v>
      </c>
      <c r="Z139" s="163"/>
    </row>
    <row r="140" spans="2:26" ht="30.75">
      <c r="B140" s="329" t="s">
        <v>182</v>
      </c>
      <c r="C140" s="322">
        <v>13030200</v>
      </c>
      <c r="D140" s="323">
        <f>#N/A</f>
        <v>235.6</v>
      </c>
      <c r="E140" s="323">
        <f>#N/A</f>
        <v>235.6</v>
      </c>
      <c r="F140" s="323">
        <f>#N/A</f>
        <v>140.5</v>
      </c>
      <c r="G140" s="323">
        <f>#N/A</f>
        <v>194.24</v>
      </c>
      <c r="H140" s="323">
        <f>#N/A</f>
        <v>53.74000000000001</v>
      </c>
      <c r="I140" s="357">
        <f>#N/A</f>
        <v>1.382491103202847</v>
      </c>
      <c r="J140" s="323">
        <f>#N/A</f>
        <v>-41.359999999999985</v>
      </c>
      <c r="K140" s="357">
        <f>#N/A</f>
        <v>82.44482173174873</v>
      </c>
      <c r="L140" s="323">
        <f>#N/A</f>
        <v>0</v>
      </c>
      <c r="M140" s="323">
        <f>#N/A</f>
        <v>0</v>
      </c>
      <c r="N140" s="323">
        <f>#N/A</f>
        <v>0</v>
      </c>
      <c r="O140" s="323">
        <f>#N/A</f>
        <v>220.59</v>
      </c>
      <c r="P140" s="323">
        <f>#N/A</f>
        <v>15.009999999999991</v>
      </c>
      <c r="Q140" s="357">
        <f>#N/A</f>
        <v>1.0680447889750215</v>
      </c>
      <c r="R140" s="323">
        <f>#N/A</f>
        <v>118.46</v>
      </c>
      <c r="S140" s="323">
        <f>#N/A</f>
        <v>75.78000000000002</v>
      </c>
      <c r="T140" s="357">
        <f>#N/A</f>
        <v>1.639709606618268</v>
      </c>
      <c r="U140" s="323">
        <f>#N/A</f>
        <v>0</v>
      </c>
      <c r="V140" s="323">
        <f>#N/A</f>
        <v>0</v>
      </c>
      <c r="W140" s="323">
        <f>#N/A</f>
        <v>0</v>
      </c>
      <c r="X140" s="357" t="e">
        <f>#N/A</f>
        <v>#DIV/0!</v>
      </c>
      <c r="Y140" s="446">
        <f>#N/A</f>
        <v>0.5716648176432464</v>
      </c>
      <c r="Z140" s="163"/>
    </row>
    <row r="141" spans="2:26" ht="15">
      <c r="B141" s="331" t="s">
        <v>51</v>
      </c>
      <c r="C141" s="332">
        <v>21080500</v>
      </c>
      <c r="D141" s="333">
        <f>#N/A</f>
        <v>158</v>
      </c>
      <c r="E141" s="333">
        <f>#N/A</f>
        <v>158</v>
      </c>
      <c r="F141" s="333">
        <f>#N/A</f>
        <v>70</v>
      </c>
      <c r="G141" s="333">
        <f>#N/A</f>
        <v>51.82</v>
      </c>
      <c r="H141" s="333">
        <f>#N/A</f>
        <v>-18.18</v>
      </c>
      <c r="I141" s="442">
        <f>#N/A</f>
        <v>0.7402857142857143</v>
      </c>
      <c r="J141" s="333">
        <f>#N/A</f>
        <v>-106.18</v>
      </c>
      <c r="K141" s="442">
        <f>#N/A</f>
        <v>0.3279746835443038</v>
      </c>
      <c r="L141" s="333">
        <f>#N/A</f>
        <v>0</v>
      </c>
      <c r="M141" s="333">
        <f>#N/A</f>
        <v>0</v>
      </c>
      <c r="N141" s="333">
        <f>#N/A</f>
        <v>0</v>
      </c>
      <c r="O141" s="333">
        <f>#N/A</f>
        <v>153.3</v>
      </c>
      <c r="P141" s="333">
        <f>#N/A</f>
        <v>4.699999999999989</v>
      </c>
      <c r="Q141" s="442">
        <f>#N/A</f>
        <v>1.030658838878017</v>
      </c>
      <c r="R141" s="333">
        <f>#N/A</f>
        <v>102.8</v>
      </c>
      <c r="S141" s="333">
        <f>#N/A</f>
        <v>-50.98</v>
      </c>
      <c r="T141" s="442">
        <f>#N/A</f>
        <v>0.5040856031128405</v>
      </c>
      <c r="U141" s="333">
        <f>#N/A</f>
        <v>14</v>
      </c>
      <c r="V141" s="333">
        <f>#N/A</f>
        <v>0</v>
      </c>
      <c r="W141" s="333">
        <f>#N/A</f>
        <v>-14</v>
      </c>
      <c r="X141" s="357">
        <f>#N/A</f>
        <v>0</v>
      </c>
      <c r="Y141" s="446">
        <f>#N/A</f>
        <v>-0.5265732357651765</v>
      </c>
      <c r="Z141" s="163"/>
    </row>
    <row r="142" spans="2:26" ht="30.75">
      <c r="B142" s="336" t="s">
        <v>34</v>
      </c>
      <c r="C142" s="337">
        <v>21080900</v>
      </c>
      <c r="D142" s="338">
        <f>#N/A</f>
        <v>13</v>
      </c>
      <c r="E142" s="338">
        <f>#N/A</f>
        <v>13</v>
      </c>
      <c r="F142" s="338">
        <f>#N/A</f>
        <v>7</v>
      </c>
      <c r="G142" s="338">
        <f>#N/A</f>
        <v>2.1</v>
      </c>
      <c r="H142" s="338">
        <f>#N/A</f>
        <v>-4.9</v>
      </c>
      <c r="I142" s="443">
        <f>#N/A</f>
        <v>0.3</v>
      </c>
      <c r="J142" s="338">
        <f>#N/A</f>
        <v>-10.9</v>
      </c>
      <c r="K142" s="443">
        <f>#N/A</f>
        <v>0.16153846153846155</v>
      </c>
      <c r="L142" s="338">
        <f>#N/A</f>
        <v>0</v>
      </c>
      <c r="M142" s="338">
        <f>#N/A</f>
        <v>0</v>
      </c>
      <c r="N142" s="338">
        <f>#N/A</f>
        <v>0</v>
      </c>
      <c r="O142" s="338">
        <f>#N/A</f>
        <v>12.95</v>
      </c>
      <c r="P142" s="338">
        <f>#N/A</f>
        <v>0.05000000000000071</v>
      </c>
      <c r="Q142" s="443">
        <f>#N/A</f>
        <v>1.0038610038610039</v>
      </c>
      <c r="R142" s="338">
        <f>#N/A</f>
        <v>2.03</v>
      </c>
      <c r="S142" s="338">
        <f>#N/A</f>
        <v>0.07000000000000028</v>
      </c>
      <c r="T142" s="443">
        <f>#N/A</f>
        <v>0</v>
      </c>
      <c r="U142" s="338">
        <f>#N/A</f>
        <v>1</v>
      </c>
      <c r="V142" s="338">
        <f>#N/A</f>
        <v>0.08000000000000007</v>
      </c>
      <c r="W142" s="338">
        <f>#N/A</f>
        <v>-0.9199999999999999</v>
      </c>
      <c r="X142" s="445">
        <f>#N/A</f>
        <v>0.08000000000000007</v>
      </c>
      <c r="Y142" s="446">
        <f>#N/A</f>
        <v>-1.0038610038610039</v>
      </c>
      <c r="Z142" s="163"/>
    </row>
    <row r="143" spans="2:26" ht="15">
      <c r="B143" s="329" t="s">
        <v>16</v>
      </c>
      <c r="C143" s="322">
        <v>21081100</v>
      </c>
      <c r="D143" s="323">
        <f>#N/A</f>
        <v>744</v>
      </c>
      <c r="E143" s="323">
        <f>#N/A</f>
        <v>744</v>
      </c>
      <c r="F143" s="323">
        <f>#N/A</f>
        <v>328.43</v>
      </c>
      <c r="G143" s="323">
        <f>#N/A</f>
        <v>643.5</v>
      </c>
      <c r="H143" s="323">
        <f>#N/A</f>
        <v>315.07</v>
      </c>
      <c r="I143" s="357">
        <f>#N/A</f>
        <v>1.9593216210455804</v>
      </c>
      <c r="J143" s="323">
        <f>#N/A</f>
        <v>-100.5</v>
      </c>
      <c r="K143" s="357">
        <f>#N/A</f>
        <v>0.8649193548387096</v>
      </c>
      <c r="L143" s="323">
        <f>#N/A</f>
        <v>0</v>
      </c>
      <c r="M143" s="323">
        <f>#N/A</f>
        <v>0</v>
      </c>
      <c r="N143" s="323">
        <f>#N/A</f>
        <v>0</v>
      </c>
      <c r="O143" s="323">
        <f>#N/A</f>
        <v>705.31</v>
      </c>
      <c r="P143" s="323">
        <f>#N/A</f>
        <v>38.690000000000055</v>
      </c>
      <c r="Q143" s="357">
        <f>#N/A</f>
        <v>1.0548553118486907</v>
      </c>
      <c r="R143" s="323">
        <f>#N/A</f>
        <v>501.53</v>
      </c>
      <c r="S143" s="323">
        <f>#N/A</f>
        <v>141.97000000000003</v>
      </c>
      <c r="T143" s="357">
        <f>#N/A</f>
        <v>1.2830737941897794</v>
      </c>
      <c r="U143" s="323">
        <f>#N/A</f>
        <v>60</v>
      </c>
      <c r="V143" s="323">
        <f>#N/A</f>
        <v>98.72000000000003</v>
      </c>
      <c r="W143" s="323">
        <f>#N/A</f>
        <v>38.72000000000003</v>
      </c>
      <c r="X143" s="357">
        <f>#N/A</f>
        <v>1.6453333333333338</v>
      </c>
      <c r="Y143" s="446">
        <f>#N/A</f>
        <v>0.22821848234108866</v>
      </c>
      <c r="Z143" s="163"/>
    </row>
    <row r="144" spans="2:26" ht="46.5">
      <c r="B144" s="329" t="s">
        <v>67</v>
      </c>
      <c r="C144" s="322">
        <v>21081500</v>
      </c>
      <c r="D144" s="323">
        <f>#N/A</f>
        <v>115.5</v>
      </c>
      <c r="E144" s="323">
        <f>#N/A</f>
        <v>115.5</v>
      </c>
      <c r="F144" s="323">
        <f>#N/A</f>
        <v>50</v>
      </c>
      <c r="G144" s="323">
        <f>#N/A</f>
        <v>117</v>
      </c>
      <c r="H144" s="323">
        <f>#N/A</f>
        <v>67</v>
      </c>
      <c r="I144" s="357">
        <f>#N/A</f>
        <v>2.34</v>
      </c>
      <c r="J144" s="323">
        <f>#N/A</f>
        <v>1.5</v>
      </c>
      <c r="K144" s="357">
        <f>#N/A</f>
        <v>1.0129870129870129</v>
      </c>
      <c r="L144" s="323">
        <f>#N/A</f>
        <v>0</v>
      </c>
      <c r="M144" s="323">
        <f>#N/A</f>
        <v>0</v>
      </c>
      <c r="N144" s="323">
        <f>#N/A</f>
        <v>0</v>
      </c>
      <c r="O144" s="323">
        <f>#N/A</f>
        <v>114.3</v>
      </c>
      <c r="P144" s="323">
        <f>#N/A</f>
        <v>1.2000000000000028</v>
      </c>
      <c r="Q144" s="357">
        <f>#N/A</f>
        <v>1.010498687664042</v>
      </c>
      <c r="R144" s="323">
        <f>#N/A</f>
        <v>71.01</v>
      </c>
      <c r="S144" s="323">
        <f>#N/A</f>
        <v>45.989999999999995</v>
      </c>
      <c r="T144" s="357">
        <f>#N/A</f>
        <v>1.64765525982256</v>
      </c>
      <c r="U144" s="323">
        <f>#N/A</f>
        <v>10</v>
      </c>
      <c r="V144" s="323">
        <f>#N/A</f>
        <v>68.82</v>
      </c>
      <c r="W144" s="323">
        <f>#N/A</f>
        <v>58.81999999999999</v>
      </c>
      <c r="X144" s="357">
        <f>#N/A</f>
        <v>6.882</v>
      </c>
      <c r="Y144" s="446">
        <f>#N/A</f>
        <v>0.637156572158518</v>
      </c>
      <c r="Z144" s="163"/>
    </row>
    <row r="145" spans="2:26" ht="46.5">
      <c r="B145" s="329" t="s">
        <v>17</v>
      </c>
      <c r="C145" s="322" t="s">
        <v>18</v>
      </c>
      <c r="D145" s="323">
        <f>D71</f>
        <v>3</v>
      </c>
      <c r="E145" s="323">
        <f>#N/A</f>
        <v>3</v>
      </c>
      <c r="F145" s="323">
        <f>#N/A</f>
        <v>1.5</v>
      </c>
      <c r="G145" s="323">
        <f>#N/A</f>
        <v>0</v>
      </c>
      <c r="H145" s="323">
        <f>#N/A</f>
        <v>-1.5</v>
      </c>
      <c r="I145" s="357">
        <f>#N/A</f>
        <v>0</v>
      </c>
      <c r="J145" s="323">
        <f>#N/A</f>
        <v>-3</v>
      </c>
      <c r="K145" s="357">
        <f>#N/A</f>
        <v>0</v>
      </c>
      <c r="L145" s="323">
        <f>#N/A</f>
        <v>0</v>
      </c>
      <c r="M145" s="323">
        <f>#N/A</f>
        <v>0</v>
      </c>
      <c r="N145" s="323">
        <f>#N/A</f>
        <v>0</v>
      </c>
      <c r="O145" s="323">
        <f>#N/A</f>
        <v>2.04</v>
      </c>
      <c r="P145" s="323">
        <f>#N/A</f>
        <v>0.96</v>
      </c>
      <c r="Q145" s="357">
        <f>#N/A</f>
        <v>1.4705882352941175</v>
      </c>
      <c r="R145" s="323">
        <f>#N/A</f>
        <v>2.04</v>
      </c>
      <c r="S145" s="323">
        <f>#N/A</f>
        <v>-2.04</v>
      </c>
      <c r="T145" s="357">
        <f>#N/A</f>
        <v>0</v>
      </c>
      <c r="U145" s="323">
        <f>#N/A</f>
        <v>0</v>
      </c>
      <c r="V145" s="323">
        <f>#N/A</f>
        <v>0</v>
      </c>
      <c r="W145" s="323">
        <f>#N/A</f>
        <v>0</v>
      </c>
      <c r="X145" s="357">
        <f>#N/A</f>
        <v>0</v>
      </c>
      <c r="Y145" s="446">
        <f>#N/A</f>
        <v>-1.4705882352941175</v>
      </c>
      <c r="Z145" s="163"/>
    </row>
    <row r="146" spans="2:26" ht="30.75">
      <c r="B146" s="344" t="s">
        <v>39</v>
      </c>
      <c r="C146" s="322">
        <v>31010200</v>
      </c>
      <c r="D146" s="345">
        <f>D78</f>
        <v>35</v>
      </c>
      <c r="E146" s="345">
        <f>#N/A</f>
        <v>35</v>
      </c>
      <c r="F146" s="345">
        <f>#N/A</f>
        <v>18.27</v>
      </c>
      <c r="G146" s="345">
        <f>#N/A</f>
        <v>7.72</v>
      </c>
      <c r="H146" s="345">
        <f>#N/A</f>
        <v>-10.55</v>
      </c>
      <c r="I146" s="444">
        <f>#N/A</f>
        <v>0.4225506294471812</v>
      </c>
      <c r="J146" s="345">
        <f>#N/A</f>
        <v>-27.28</v>
      </c>
      <c r="K146" s="444">
        <f>#N/A</f>
        <v>0.22057142857142856</v>
      </c>
      <c r="L146" s="345">
        <f>#N/A</f>
        <v>0</v>
      </c>
      <c r="M146" s="345">
        <f>#N/A</f>
        <v>0</v>
      </c>
      <c r="N146" s="345">
        <f>#N/A</f>
        <v>0</v>
      </c>
      <c r="O146" s="345">
        <f>#N/A</f>
        <v>34.22</v>
      </c>
      <c r="P146" s="345">
        <f>#N/A</f>
        <v>0.7800000000000011</v>
      </c>
      <c r="Q146" s="444">
        <f>#N/A</f>
        <v>1.0227936879018118</v>
      </c>
      <c r="R146" s="345">
        <f>#N/A</f>
        <v>25.38</v>
      </c>
      <c r="S146" s="345">
        <f>#N/A</f>
        <v>-17.66</v>
      </c>
      <c r="T146" s="444">
        <f>#N/A</f>
        <v>0.3041765169424744</v>
      </c>
      <c r="U146" s="345">
        <f>#N/A</f>
        <v>2.9000000000000004</v>
      </c>
      <c r="V146" s="345">
        <f>#N/A</f>
        <v>2.0999999999999996</v>
      </c>
      <c r="W146" s="345">
        <f>#N/A</f>
        <v>-0.8000000000000007</v>
      </c>
      <c r="X146" s="444">
        <f>#N/A</f>
        <v>0.7241379310344825</v>
      </c>
      <c r="Y146" s="446">
        <f>#N/A</f>
        <v>-0.7186171709593374</v>
      </c>
      <c r="Z146" s="163"/>
    </row>
    <row r="147" spans="2:26" ht="30.75">
      <c r="B147" s="344" t="s">
        <v>49</v>
      </c>
      <c r="C147" s="322">
        <v>31020000</v>
      </c>
      <c r="D147" s="345">
        <f>D79</f>
        <v>0</v>
      </c>
      <c r="E147" s="345">
        <f>#N/A</f>
        <v>0</v>
      </c>
      <c r="F147" s="345">
        <f>#N/A</f>
        <v>0</v>
      </c>
      <c r="G147" s="345">
        <f>#N/A</f>
        <v>0.68</v>
      </c>
      <c r="H147" s="345">
        <f>#N/A</f>
        <v>0.68</v>
      </c>
      <c r="I147" s="444" t="e">
        <f>#N/A</f>
        <v>#DIV/0!</v>
      </c>
      <c r="J147" s="345">
        <f>#N/A</f>
        <v>0.68</v>
      </c>
      <c r="K147" s="444">
        <f>#N/A</f>
        <v>0</v>
      </c>
      <c r="L147" s="345">
        <f>#N/A</f>
        <v>0</v>
      </c>
      <c r="M147" s="345">
        <f>#N/A</f>
        <v>0</v>
      </c>
      <c r="N147" s="345">
        <f>#N/A</f>
        <v>0</v>
      </c>
      <c r="O147" s="345">
        <f>#N/A</f>
        <v>-4.86</v>
      </c>
      <c r="P147" s="345">
        <f>#N/A</f>
        <v>4.86</v>
      </c>
      <c r="Q147" s="444">
        <f>#N/A</f>
        <v>0</v>
      </c>
      <c r="R147" s="345">
        <f>#N/A</f>
        <v>-5.25</v>
      </c>
      <c r="S147" s="345">
        <f>#N/A</f>
        <v>5.93</v>
      </c>
      <c r="T147" s="444">
        <f>#N/A</f>
        <v>-0.12952380952380954</v>
      </c>
      <c r="U147" s="345">
        <f>#N/A</f>
        <v>0</v>
      </c>
      <c r="V147" s="345">
        <f>#N/A</f>
        <v>0.010000000000000009</v>
      </c>
      <c r="W147" s="345">
        <f>#N/A</f>
        <v>0.010000000000000009</v>
      </c>
      <c r="X147" s="444">
        <f>#N/A</f>
        <v>0</v>
      </c>
      <c r="Y147" s="446">
        <f>#N/A</f>
        <v>-0.12952380952380954</v>
      </c>
      <c r="Z147" s="163"/>
    </row>
    <row r="148" spans="4:26" ht="15">
      <c r="D148" s="351">
        <f>SUM(D139:D147)</f>
        <v>1304.1</v>
      </c>
      <c r="E148" s="351">
        <f>SUM(E139:E147)</f>
        <v>1304.1</v>
      </c>
      <c r="F148" s="351">
        <f>SUM(F139:F147)</f>
        <v>615.7</v>
      </c>
      <c r="G148" s="351">
        <f>SUM(G139:G147)</f>
        <v>1017.06</v>
      </c>
      <c r="H148" s="351">
        <f>SUM(H139:H147)</f>
        <v>401.36</v>
      </c>
      <c r="I148" s="189">
        <f>G148/F148</f>
        <v>1.6518759135942827</v>
      </c>
      <c r="J148" s="351">
        <f>G148-E148</f>
        <v>-287.03999999999996</v>
      </c>
      <c r="K148" s="441">
        <f>G148/E148</f>
        <v>0.7798941798941799</v>
      </c>
      <c r="O148" s="351">
        <f>SUM(O139:O147)</f>
        <v>1238.34</v>
      </c>
      <c r="P148" s="351">
        <f>SUM(P139:P147)</f>
        <v>65.76000000000005</v>
      </c>
      <c r="Q148" s="189">
        <f>E148/O148</f>
        <v>1.053103348030428</v>
      </c>
      <c r="R148" s="351">
        <f>SUM(R139:R147)</f>
        <v>818.4899999999999</v>
      </c>
      <c r="S148" s="351">
        <f>SUM(S139:S147)</f>
        <v>198.57000000000005</v>
      </c>
      <c r="T148" s="189">
        <f>G148/R148</f>
        <v>1.2426052853425211</v>
      </c>
      <c r="U148" s="351">
        <f>SUM(U139:U147)</f>
        <v>87.9</v>
      </c>
      <c r="V148" s="351">
        <f>SUM(V139:V147)</f>
        <v>169.73</v>
      </c>
      <c r="W148" s="351">
        <f>SUM(W139:W147)</f>
        <v>81.83000000000003</v>
      </c>
      <c r="X148" s="189">
        <f>V148/U148</f>
        <v>1.9309442548350395</v>
      </c>
      <c r="Y148" s="189">
        <f>#N/A</f>
        <v>0.1895019373120932</v>
      </c>
      <c r="Z148" s="163"/>
    </row>
    <row r="149" spans="4:25" ht="15">
      <c r="D149" s="4"/>
      <c r="F149" s="78"/>
      <c r="G149" s="4"/>
      <c r="Y149" s="189"/>
    </row>
    <row r="150" spans="2:25" ht="15">
      <c r="B150" s="354" t="s">
        <v>183</v>
      </c>
      <c r="D150" s="4"/>
      <c r="F150" s="78"/>
      <c r="G150" s="4"/>
      <c r="Y150" s="189"/>
    </row>
    <row r="151" spans="2:25" ht="30.75">
      <c r="B151" s="355" t="s">
        <v>89</v>
      </c>
      <c r="C151" s="356">
        <v>22010300</v>
      </c>
      <c r="D151" s="323">
        <f>#N/A</f>
        <v>1284</v>
      </c>
      <c r="E151" s="323">
        <f>#N/A</f>
        <v>1284</v>
      </c>
      <c r="F151" s="323">
        <f>#N/A</f>
        <v>614</v>
      </c>
      <c r="G151" s="323">
        <f>#N/A</f>
        <v>568.32</v>
      </c>
      <c r="H151" s="323">
        <f>#N/A</f>
        <v>-45.67999999999995</v>
      </c>
      <c r="I151" s="357">
        <f>#N/A</f>
        <v>0.9256026058631923</v>
      </c>
      <c r="J151" s="323">
        <f>#N/A</f>
        <v>-715.68</v>
      </c>
      <c r="K151" s="357">
        <f>#N/A</f>
        <v>0.4426168224299066</v>
      </c>
      <c r="L151" s="323">
        <f>#N/A</f>
        <v>0</v>
      </c>
      <c r="M151" s="323">
        <f>#N/A</f>
        <v>0</v>
      </c>
      <c r="N151" s="323">
        <f>#N/A</f>
        <v>0</v>
      </c>
      <c r="O151" s="323">
        <f>#N/A</f>
        <v>1205.14</v>
      </c>
      <c r="P151" s="323">
        <f>#N/A</f>
        <v>78.8599999999999</v>
      </c>
      <c r="Q151" s="357">
        <f>#N/A</f>
        <v>1.0654363808354215</v>
      </c>
      <c r="R151" s="323">
        <f>#N/A</f>
        <v>628.92</v>
      </c>
      <c r="S151" s="323">
        <f>#N/A</f>
        <v>-60.59999999999991</v>
      </c>
      <c r="T151" s="357">
        <f>#N/A</f>
        <v>0.9036443426826943</v>
      </c>
      <c r="U151" s="323">
        <f>#N/A</f>
        <v>116</v>
      </c>
      <c r="V151" s="323">
        <f>#N/A</f>
        <v>94.56000000000006</v>
      </c>
      <c r="W151" s="323">
        <f>#N/A</f>
        <v>-21.43999999999994</v>
      </c>
      <c r="X151" s="357">
        <f>#N/A</f>
        <v>0.815172413793104</v>
      </c>
      <c r="Y151" s="446">
        <f>#N/A</f>
        <v>-0.16179203815272714</v>
      </c>
    </row>
    <row r="152" spans="2:25" ht="15">
      <c r="B152" s="355" t="s">
        <v>106</v>
      </c>
      <c r="C152" s="356">
        <v>22010200</v>
      </c>
      <c r="D152" s="323">
        <f>#N/A</f>
        <v>0</v>
      </c>
      <c r="E152" s="323">
        <f>#N/A</f>
        <v>0</v>
      </c>
      <c r="F152" s="323">
        <f>#N/A</f>
        <v>0</v>
      </c>
      <c r="G152" s="323">
        <f>#N/A</f>
        <v>0</v>
      </c>
      <c r="H152" s="323">
        <f>#N/A</f>
        <v>0</v>
      </c>
      <c r="I152" s="357" t="e">
        <f>#N/A</f>
        <v>#DIV/0!</v>
      </c>
      <c r="J152" s="323">
        <f>#N/A</f>
        <v>0</v>
      </c>
      <c r="K152" s="357" t="e">
        <f>#N/A</f>
        <v>#DIV/0!</v>
      </c>
      <c r="L152" s="323">
        <f>#N/A</f>
        <v>0</v>
      </c>
      <c r="M152" s="323">
        <f>#N/A</f>
        <v>0</v>
      </c>
      <c r="N152" s="323">
        <f>#N/A</f>
        <v>0</v>
      </c>
      <c r="O152" s="323">
        <f>#N/A</f>
        <v>23.38</v>
      </c>
      <c r="P152" s="323">
        <f>#N/A</f>
        <v>-23.38</v>
      </c>
      <c r="Q152" s="357">
        <f>#N/A</f>
        <v>0</v>
      </c>
      <c r="R152" s="323">
        <f>#N/A</f>
        <v>0.69</v>
      </c>
      <c r="S152" s="323">
        <f>#N/A</f>
        <v>-0.69</v>
      </c>
      <c r="T152" s="357">
        <f>#N/A</f>
        <v>0</v>
      </c>
      <c r="U152" s="323">
        <f>#N/A</f>
        <v>0</v>
      </c>
      <c r="V152" s="323">
        <f>#N/A</f>
        <v>0</v>
      </c>
      <c r="W152" s="323">
        <f>#N/A</f>
        <v>0</v>
      </c>
      <c r="X152" s="357" t="e">
        <f>#N/A</f>
        <v>#DIV/0!</v>
      </c>
      <c r="Y152" s="446">
        <f>#N/A</f>
        <v>0</v>
      </c>
    </row>
    <row r="153" spans="2:25" ht="15">
      <c r="B153" s="358" t="s">
        <v>65</v>
      </c>
      <c r="C153" s="359">
        <v>22012500</v>
      </c>
      <c r="D153" s="360">
        <f>#N/A</f>
        <v>21260</v>
      </c>
      <c r="E153" s="360">
        <f>#N/A</f>
        <v>22260</v>
      </c>
      <c r="F153" s="360">
        <f>#N/A</f>
        <v>12090</v>
      </c>
      <c r="G153" s="360">
        <f>#N/A</f>
        <v>12308.49</v>
      </c>
      <c r="H153" s="360">
        <f>#N/A</f>
        <v>218.48999999999978</v>
      </c>
      <c r="I153" s="362">
        <f>#N/A</f>
        <v>1.0180719602977668</v>
      </c>
      <c r="J153" s="360">
        <f>#N/A</f>
        <v>-9951.51</v>
      </c>
      <c r="K153" s="362">
        <f>#N/A</f>
        <v>0.5529420485175202</v>
      </c>
      <c r="L153" s="360">
        <f>#N/A</f>
        <v>0</v>
      </c>
      <c r="M153" s="360">
        <f>#N/A</f>
        <v>0</v>
      </c>
      <c r="N153" s="360">
        <f>#N/A</f>
        <v>0</v>
      </c>
      <c r="O153" s="360">
        <f>#N/A</f>
        <v>20110.14</v>
      </c>
      <c r="P153" s="360">
        <f>#N/A</f>
        <v>2149.8600000000006</v>
      </c>
      <c r="Q153" s="362">
        <f>#N/A</f>
        <v>1.1069042781402816</v>
      </c>
      <c r="R153" s="360">
        <f>#N/A</f>
        <v>8364.31</v>
      </c>
      <c r="S153" s="360">
        <f>#N/A</f>
        <v>3944.1800000000003</v>
      </c>
      <c r="T153" s="362">
        <f>#N/A</f>
        <v>1.4715487589532192</v>
      </c>
      <c r="U153" s="360">
        <f>#N/A</f>
        <v>2000</v>
      </c>
      <c r="V153" s="360">
        <f>#N/A</f>
        <v>1753.6100000000006</v>
      </c>
      <c r="W153" s="360">
        <f>#N/A</f>
        <v>-246.38999999999942</v>
      </c>
      <c r="X153" s="362">
        <f>#N/A</f>
        <v>0.8768050000000003</v>
      </c>
      <c r="Y153" s="446">
        <f>#N/A</f>
        <v>0.36464448081293765</v>
      </c>
    </row>
    <row r="154" spans="2:25" ht="30.75">
      <c r="B154" s="358" t="s">
        <v>86</v>
      </c>
      <c r="C154" s="359">
        <v>22012600</v>
      </c>
      <c r="D154" s="360">
        <f>#N/A</f>
        <v>767</v>
      </c>
      <c r="E154" s="360">
        <f>#N/A</f>
        <v>767</v>
      </c>
      <c r="F154" s="360">
        <f>#N/A</f>
        <v>377</v>
      </c>
      <c r="G154" s="360">
        <f>#N/A</f>
        <v>401.94</v>
      </c>
      <c r="H154" s="360">
        <f>#N/A</f>
        <v>24.939999999999998</v>
      </c>
      <c r="I154" s="362">
        <f>#N/A</f>
        <v>1.0661538461538462</v>
      </c>
      <c r="J154" s="360">
        <f>#N/A</f>
        <v>-365.06</v>
      </c>
      <c r="K154" s="362">
        <f>#N/A</f>
        <v>0.5240417209908735</v>
      </c>
      <c r="L154" s="360">
        <f>#N/A</f>
        <v>0</v>
      </c>
      <c r="M154" s="360">
        <f>#N/A</f>
        <v>0</v>
      </c>
      <c r="N154" s="360">
        <f>#N/A</f>
        <v>0</v>
      </c>
      <c r="O154" s="360">
        <f>#N/A</f>
        <v>710.04</v>
      </c>
      <c r="P154" s="360">
        <f>#N/A</f>
        <v>56.960000000000036</v>
      </c>
      <c r="Q154" s="362">
        <f>#N/A</f>
        <v>1.0802208326291478</v>
      </c>
      <c r="R154" s="360">
        <f>#N/A</f>
        <v>262.81</v>
      </c>
      <c r="S154" s="360">
        <f>#N/A</f>
        <v>139.13</v>
      </c>
      <c r="T154" s="362">
        <f>#N/A</f>
        <v>1.5293938586811764</v>
      </c>
      <c r="U154" s="360">
        <f>#N/A</f>
        <v>64</v>
      </c>
      <c r="V154" s="360">
        <f>#N/A</f>
        <v>55.5</v>
      </c>
      <c r="W154" s="360">
        <f>#N/A</f>
        <v>-8.5</v>
      </c>
      <c r="X154" s="362">
        <f>#N/A</f>
        <v>0.8671875</v>
      </c>
      <c r="Y154" s="446">
        <f>#N/A</f>
        <v>0.4491730260520286</v>
      </c>
    </row>
    <row r="155" spans="2:25" ht="30.75">
      <c r="B155" s="358" t="s">
        <v>90</v>
      </c>
      <c r="C155" s="359">
        <v>22012900</v>
      </c>
      <c r="D155" s="360">
        <f>#N/A</f>
        <v>44</v>
      </c>
      <c r="E155" s="360">
        <f>#N/A</f>
        <v>44</v>
      </c>
      <c r="F155" s="360">
        <f>#N/A</f>
        <v>20</v>
      </c>
      <c r="G155" s="360">
        <f>#N/A</f>
        <v>13.23</v>
      </c>
      <c r="H155" s="360">
        <f>#N/A</f>
        <v>-6.77</v>
      </c>
      <c r="I155" s="362">
        <f>#N/A</f>
        <v>0.6615</v>
      </c>
      <c r="J155" s="360">
        <f>#N/A</f>
        <v>-30.77</v>
      </c>
      <c r="K155" s="362">
        <f>#N/A</f>
        <v>0.3006818181818182</v>
      </c>
      <c r="L155" s="360">
        <f>#N/A</f>
        <v>0</v>
      </c>
      <c r="M155" s="360">
        <f>#N/A</f>
        <v>0</v>
      </c>
      <c r="N155" s="360">
        <f>#N/A</f>
        <v>0</v>
      </c>
      <c r="O155" s="360">
        <f>#N/A</f>
        <v>41.44</v>
      </c>
      <c r="P155" s="360">
        <f>#N/A</f>
        <v>2.5600000000000023</v>
      </c>
      <c r="Q155" s="362">
        <f>#N/A</f>
        <v>1.0617760617760619</v>
      </c>
      <c r="R155" s="360">
        <f>#N/A</f>
        <v>18.72</v>
      </c>
      <c r="S155" s="360">
        <f>#N/A</f>
        <v>-5.489999999999998</v>
      </c>
      <c r="T155" s="362">
        <f>#N/A</f>
        <v>0.7067307692307693</v>
      </c>
      <c r="U155" s="360">
        <f>#N/A</f>
        <v>4</v>
      </c>
      <c r="V155" s="360">
        <f>#N/A</f>
        <v>-1.5899999999999999</v>
      </c>
      <c r="W155" s="360">
        <f>#N/A</f>
        <v>-5.59</v>
      </c>
      <c r="X155" s="362">
        <f>#N/A</f>
        <v>-0.39749999999999996</v>
      </c>
      <c r="Y155" s="446">
        <f>#N/A</f>
        <v>-0.3550452925452926</v>
      </c>
    </row>
    <row r="156" spans="2:25" ht="15">
      <c r="B156" s="354" t="s">
        <v>183</v>
      </c>
      <c r="C156" s="365">
        <v>22010000</v>
      </c>
      <c r="D156" s="351">
        <f>SUM(D151:D155)</f>
        <v>23355</v>
      </c>
      <c r="E156" s="351">
        <f>#N/A</f>
        <v>24355</v>
      </c>
      <c r="F156" s="351">
        <f>#N/A</f>
        <v>13101</v>
      </c>
      <c r="G156" s="351">
        <f>#N/A</f>
        <v>13291.98</v>
      </c>
      <c r="H156" s="351">
        <f>#N/A</f>
        <v>190.97999999999982</v>
      </c>
      <c r="I156" s="189">
        <f>G156/F156</f>
        <v>1.014577513166934</v>
      </c>
      <c r="J156" s="351">
        <f>#N/A</f>
        <v>-11063.02</v>
      </c>
      <c r="K156" s="189">
        <f>G156/E156</f>
        <v>0.5457598029152124</v>
      </c>
      <c r="L156" s="351">
        <f>#N/A</f>
        <v>0</v>
      </c>
      <c r="M156" s="351">
        <f>#N/A</f>
        <v>0</v>
      </c>
      <c r="N156" s="351">
        <f>#N/A</f>
        <v>0</v>
      </c>
      <c r="O156" s="351">
        <f>#N/A</f>
        <v>22090.14</v>
      </c>
      <c r="P156" s="351">
        <f>#N/A</f>
        <v>2264.8600000000006</v>
      </c>
      <c r="Q156" s="189">
        <f>E156/O156</f>
        <v>1.1025280962456554</v>
      </c>
      <c r="R156" s="351">
        <f>#N/A</f>
        <v>9275.449999999999</v>
      </c>
      <c r="S156" s="351">
        <f>#N/A</f>
        <v>4016.5300000000007</v>
      </c>
      <c r="T156" s="189">
        <f>G156/R156</f>
        <v>1.4330280471567418</v>
      </c>
      <c r="U156" s="351">
        <f>#N/A</f>
        <v>2184</v>
      </c>
      <c r="V156" s="351">
        <f>#N/A</f>
        <v>1902.0800000000006</v>
      </c>
      <c r="W156" s="351">
        <f>#N/A</f>
        <v>-281.91999999999933</v>
      </c>
      <c r="X156" s="189">
        <f>V156/U156</f>
        <v>0.8709157509157512</v>
      </c>
      <c r="Y156" s="189">
        <f>#N/A</f>
        <v>0.3304999509110864</v>
      </c>
    </row>
    <row r="157" spans="4:25" ht="15">
      <c r="D157" s="4"/>
      <c r="F157" s="78"/>
      <c r="G157" s="4"/>
      <c r="Y157" s="189"/>
    </row>
    <row r="158" spans="4:25" ht="15">
      <c r="D158" s="4"/>
      <c r="F158" s="78"/>
      <c r="G158" s="4"/>
      <c r="Y158" s="189"/>
    </row>
    <row r="159" spans="2:25" ht="15">
      <c r="B159" s="354" t="s">
        <v>184</v>
      </c>
      <c r="D159" s="4"/>
      <c r="F159" s="78"/>
      <c r="G159" s="4"/>
      <c r="Y159" s="189"/>
    </row>
    <row r="160" spans="2:25" ht="15">
      <c r="B160" s="366" t="s">
        <v>13</v>
      </c>
      <c r="C160" s="322" t="s">
        <v>19</v>
      </c>
      <c r="D160" s="348">
        <f>D72</f>
        <v>8170</v>
      </c>
      <c r="E160" s="348">
        <f>#N/A</f>
        <v>8170</v>
      </c>
      <c r="F160" s="348">
        <f>#N/A</f>
        <v>3968.65</v>
      </c>
      <c r="G160" s="348">
        <f>#N/A</f>
        <v>3317.3</v>
      </c>
      <c r="H160" s="348">
        <f>#N/A</f>
        <v>-651.3499999999999</v>
      </c>
      <c r="I160" s="347">
        <f>#N/A</f>
        <v>0.8358761795572802</v>
      </c>
      <c r="J160" s="348">
        <f>#N/A</f>
        <v>-4852.7</v>
      </c>
      <c r="K160" s="347">
        <f>#N/A</f>
        <v>0.40603427172582623</v>
      </c>
      <c r="L160" s="348">
        <f>#N/A</f>
        <v>0</v>
      </c>
      <c r="M160" s="348">
        <f>#N/A</f>
        <v>0</v>
      </c>
      <c r="N160" s="348">
        <f>#N/A</f>
        <v>0</v>
      </c>
      <c r="O160" s="348">
        <f>#N/A</f>
        <v>8086.92</v>
      </c>
      <c r="P160" s="348">
        <f>#N/A</f>
        <v>83.07999999999993</v>
      </c>
      <c r="Q160" s="347">
        <f>#N/A</f>
        <v>1.0102733797292418</v>
      </c>
      <c r="R160" s="348">
        <f>#N/A</f>
        <v>4834.79</v>
      </c>
      <c r="S160" s="348">
        <f>#N/A</f>
        <v>-1517.4899999999998</v>
      </c>
      <c r="T160" s="347">
        <f>#N/A</f>
        <v>0.6861311453031053</v>
      </c>
      <c r="U160" s="348">
        <f>#N/A</f>
        <v>680</v>
      </c>
      <c r="V160" s="348">
        <f>#N/A</f>
        <v>516.8500000000004</v>
      </c>
      <c r="W160" s="348">
        <f>#N/A</f>
        <v>-163.14999999999964</v>
      </c>
      <c r="X160" s="347">
        <f>#N/A</f>
        <v>0.7600735294117652</v>
      </c>
      <c r="Y160" s="189">
        <f>#N/A</f>
        <v>-0.32414223442613654</v>
      </c>
    </row>
    <row r="161" spans="2:25" ht="46.5">
      <c r="B161" s="366" t="s">
        <v>38</v>
      </c>
      <c r="C161" s="322">
        <v>24061900</v>
      </c>
      <c r="D161" s="348">
        <f>D76</f>
        <v>174.4</v>
      </c>
      <c r="E161" s="348">
        <f>#N/A</f>
        <v>174.4</v>
      </c>
      <c r="F161" s="348">
        <f>#N/A</f>
        <v>20</v>
      </c>
      <c r="G161" s="348">
        <f>#N/A</f>
        <v>0</v>
      </c>
      <c r="H161" s="348">
        <f>#N/A</f>
        <v>-20</v>
      </c>
      <c r="I161" s="347">
        <f>#N/A</f>
        <v>0</v>
      </c>
      <c r="J161" s="348">
        <f>#N/A</f>
        <v>-174.4</v>
      </c>
      <c r="K161" s="347">
        <f>#N/A</f>
        <v>0</v>
      </c>
      <c r="L161" s="348">
        <f>#N/A</f>
        <v>0</v>
      </c>
      <c r="M161" s="348">
        <f>#N/A</f>
        <v>0</v>
      </c>
      <c r="N161" s="348">
        <f>#N/A</f>
        <v>0</v>
      </c>
      <c r="O161" s="348">
        <f>#N/A</f>
        <v>142.18</v>
      </c>
      <c r="P161" s="348">
        <f>#N/A</f>
        <v>32.22</v>
      </c>
      <c r="Q161" s="347">
        <f>#N/A</f>
        <v>1.2266141510761006</v>
      </c>
      <c r="R161" s="348">
        <f>#N/A</f>
        <v>54.64</v>
      </c>
      <c r="S161" s="348">
        <f>#N/A</f>
        <v>-54.64</v>
      </c>
      <c r="T161" s="347">
        <f>#N/A</f>
        <v>0</v>
      </c>
      <c r="U161" s="348">
        <f>#N/A</f>
        <v>0</v>
      </c>
      <c r="V161" s="348">
        <f>#N/A</f>
        <v>0</v>
      </c>
      <c r="W161" s="348">
        <f>#N/A</f>
        <v>0</v>
      </c>
      <c r="X161" s="347" t="e">
        <f>#N/A</f>
        <v>#DIV/0!</v>
      </c>
      <c r="Y161" s="189">
        <f>#N/A</f>
        <v>-1.2266141510761006</v>
      </c>
    </row>
    <row r="162" spans="2:25" ht="15">
      <c r="B162" s="354" t="s">
        <v>184</v>
      </c>
      <c r="C162" s="370">
        <v>24060000</v>
      </c>
      <c r="D162" s="351">
        <f>SUM(D160:D161)</f>
        <v>8344.4</v>
      </c>
      <c r="E162" s="351">
        <f>#N/A</f>
        <v>8344.4</v>
      </c>
      <c r="F162" s="351">
        <f>#N/A</f>
        <v>3988.65</v>
      </c>
      <c r="G162" s="351">
        <f>#N/A</f>
        <v>3317.3</v>
      </c>
      <c r="H162" s="351">
        <f>#N/A</f>
        <v>-671.3499999999999</v>
      </c>
      <c r="I162" s="189">
        <f>G162/F162</f>
        <v>0.8316849059205496</v>
      </c>
      <c r="J162" s="351">
        <f>#N/A</f>
        <v>-5027.099999999999</v>
      </c>
      <c r="K162" s="189">
        <f>G162/E162</f>
        <v>0.39754805618139116</v>
      </c>
      <c r="L162" s="351">
        <f>#N/A</f>
        <v>0</v>
      </c>
      <c r="M162" s="351">
        <f>#N/A</f>
        <v>0</v>
      </c>
      <c r="N162" s="351">
        <f>#N/A</f>
        <v>0</v>
      </c>
      <c r="O162" s="351">
        <f>#N/A</f>
        <v>8229.1</v>
      </c>
      <c r="P162" s="351">
        <f>#N/A</f>
        <v>115.29999999999993</v>
      </c>
      <c r="Q162" s="189">
        <f>E162/O162</f>
        <v>1.0140112527493892</v>
      </c>
      <c r="R162" s="351">
        <f>#N/A</f>
        <v>4889.43</v>
      </c>
      <c r="S162" s="351">
        <f>#N/A</f>
        <v>-1572.1299999999999</v>
      </c>
      <c r="T162" s="189">
        <f>G162/R162</f>
        <v>0.6784635427851509</v>
      </c>
      <c r="U162" s="351">
        <f>#N/A</f>
        <v>680</v>
      </c>
      <c r="V162" s="351">
        <f>#N/A</f>
        <v>516.8500000000004</v>
      </c>
      <c r="W162" s="351">
        <f>#N/A</f>
        <v>-163.14999999999964</v>
      </c>
      <c r="X162" s="189">
        <f>V162/U162</f>
        <v>0.7600735294117652</v>
      </c>
      <c r="Y162" s="189">
        <f>#N/A</f>
        <v>-0.3355477099642383</v>
      </c>
    </row>
    <row r="168" spans="6:8" ht="15">
      <c r="F168" s="267"/>
      <c r="H168" s="163"/>
    </row>
    <row r="170" spans="6:9" ht="15">
      <c r="F170" s="267"/>
      <c r="H170" s="267"/>
      <c r="I170" s="163"/>
    </row>
  </sheetData>
  <sheetProtection/>
  <mergeCells count="30"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  <mergeCell ref="F4:F5"/>
    <mergeCell ref="G4:G5"/>
    <mergeCell ref="H4:H5"/>
    <mergeCell ref="I4:I5"/>
    <mergeCell ref="J4:J5"/>
    <mergeCell ref="K4:K5"/>
    <mergeCell ref="V4:V5"/>
    <mergeCell ref="W4:W5"/>
    <mergeCell ref="X4:X5"/>
    <mergeCell ref="L5:N5"/>
    <mergeCell ref="O5:Q5"/>
    <mergeCell ref="R5:T5"/>
    <mergeCell ref="B112:C112"/>
    <mergeCell ref="G112:H112"/>
    <mergeCell ref="G107:H107"/>
    <mergeCell ref="G108:H108"/>
    <mergeCell ref="G109:H109"/>
    <mergeCell ref="B110:C110"/>
    <mergeCell ref="G110:H110"/>
    <mergeCell ref="G111:H111"/>
  </mergeCells>
  <printOptions/>
  <pageMargins left="0.31496062992125984" right="0" top="0" bottom="0" header="0" footer="0"/>
  <pageSetup fitToHeight="1" fitToWidth="1" orientation="portrait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70"/>
  <sheetViews>
    <sheetView zoomScale="69" zoomScaleNormal="69" zoomScalePageLayoutView="0" workbookViewId="0" topLeftCell="B1">
      <pane xSplit="3" ySplit="8" topLeftCell="E71" activePane="bottomRight" state="frozen"/>
      <selection pane="topLeft" activeCell="B1" sqref="B1"/>
      <selection pane="topRight" activeCell="E1" sqref="E1"/>
      <selection pane="bottomLeft" activeCell="B9" sqref="B9"/>
      <selection pane="bottomRight" activeCell="V77" sqref="V7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customWidth="1"/>
    <col min="18" max="18" width="13.625" style="4" hidden="1" customWidth="1"/>
    <col min="19" max="19" width="12.25390625" style="4" hidden="1" customWidth="1"/>
    <col min="20" max="20" width="14.25390625" style="4" customWidth="1"/>
    <col min="21" max="21" width="12.00390625" style="4" customWidth="1"/>
    <col min="22" max="22" width="12.25390625" style="4" customWidth="1"/>
    <col min="23" max="23" width="14.50390625" style="4" customWidth="1"/>
    <col min="24" max="24" width="12.75390625" style="4" customWidth="1"/>
    <col min="25" max="25" width="11.375" style="186" customWidth="1"/>
    <col min="26" max="16384" width="9.125" style="4" customWidth="1"/>
  </cols>
  <sheetData>
    <row r="1" spans="1:25" s="1" customFormat="1" ht="26.25" customHeight="1">
      <c r="A1" s="504" t="s">
        <v>239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186"/>
    </row>
    <row r="2" spans="2:25" s="1" customFormat="1" ht="15.75" customHeight="1">
      <c r="B2" s="470"/>
      <c r="C2" s="470"/>
      <c r="D2" s="470"/>
      <c r="E2" s="470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71"/>
      <c r="B3" s="473"/>
      <c r="C3" s="474" t="s">
        <v>0</v>
      </c>
      <c r="D3" s="475" t="s">
        <v>131</v>
      </c>
      <c r="E3" s="475" t="s">
        <v>221</v>
      </c>
      <c r="F3" s="25"/>
      <c r="G3" s="476" t="s">
        <v>26</v>
      </c>
      <c r="H3" s="477"/>
      <c r="I3" s="477"/>
      <c r="J3" s="477"/>
      <c r="K3" s="478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479" t="s">
        <v>234</v>
      </c>
      <c r="V3" s="482" t="s">
        <v>235</v>
      </c>
      <c r="W3" s="482"/>
      <c r="X3" s="482"/>
      <c r="Y3" s="194"/>
    </row>
    <row r="4" spans="1:24" ht="22.5" customHeight="1">
      <c r="A4" s="471"/>
      <c r="B4" s="473"/>
      <c r="C4" s="474"/>
      <c r="D4" s="475"/>
      <c r="E4" s="475"/>
      <c r="F4" s="483" t="s">
        <v>231</v>
      </c>
      <c r="G4" s="485" t="s">
        <v>31</v>
      </c>
      <c r="H4" s="487" t="s">
        <v>232</v>
      </c>
      <c r="I4" s="480" t="s">
        <v>233</v>
      </c>
      <c r="J4" s="487" t="s">
        <v>132</v>
      </c>
      <c r="K4" s="480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0"/>
      <c r="V4" s="489" t="s">
        <v>240</v>
      </c>
      <c r="W4" s="487" t="s">
        <v>44</v>
      </c>
      <c r="X4" s="491" t="s">
        <v>43</v>
      </c>
    </row>
    <row r="5" spans="1:24" ht="67.5" customHeight="1">
      <c r="A5" s="472"/>
      <c r="B5" s="473"/>
      <c r="C5" s="474"/>
      <c r="D5" s="475"/>
      <c r="E5" s="475"/>
      <c r="F5" s="484"/>
      <c r="G5" s="486"/>
      <c r="H5" s="488"/>
      <c r="I5" s="481"/>
      <c r="J5" s="488"/>
      <c r="K5" s="481"/>
      <c r="L5" s="492" t="s">
        <v>135</v>
      </c>
      <c r="M5" s="493"/>
      <c r="N5" s="494"/>
      <c r="O5" s="495" t="s">
        <v>210</v>
      </c>
      <c r="P5" s="496"/>
      <c r="Q5" s="497"/>
      <c r="R5" s="498" t="s">
        <v>236</v>
      </c>
      <c r="S5" s="498"/>
      <c r="T5" s="498"/>
      <c r="U5" s="481"/>
      <c r="V5" s="490"/>
      <c r="W5" s="488"/>
      <c r="X5" s="491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1603250.9</v>
      </c>
      <c r="F8" s="103">
        <f>F9+F15+F18+F19+F23+F17</f>
        <v>637167.95</v>
      </c>
      <c r="G8" s="103">
        <f>G9+G15+G18+G19+G23+G17</f>
        <v>649307.7</v>
      </c>
      <c r="H8" s="103">
        <f>G8-F8</f>
        <v>12139.75</v>
      </c>
      <c r="I8" s="210">
        <f>#N/A</f>
        <v>1.0190526689234762</v>
      </c>
      <c r="J8" s="104">
        <f>#N/A</f>
        <v>-953943.2</v>
      </c>
      <c r="K8" s="156">
        <f>#N/A</f>
        <v>0.4049944397349161</v>
      </c>
      <c r="L8" s="104"/>
      <c r="M8" s="104"/>
      <c r="N8" s="104"/>
      <c r="O8" s="104">
        <v>1329586.12</v>
      </c>
      <c r="P8" s="104">
        <f>#N/A</f>
        <v>273664.7799999998</v>
      </c>
      <c r="Q8" s="156">
        <f>#N/A</f>
        <v>1.2058270433809881</v>
      </c>
      <c r="R8" s="103">
        <v>505095.97</v>
      </c>
      <c r="S8" s="103">
        <f>#N/A</f>
        <v>144211.72999999998</v>
      </c>
      <c r="T8" s="143">
        <f>#N/A</f>
        <v>1.2855135233013242</v>
      </c>
      <c r="U8" s="103">
        <f>U9+U15+U18+U19+U23+U17</f>
        <v>162344.60999999993</v>
      </c>
      <c r="V8" s="103">
        <f>V9+V15+V18+V19+V23+V17</f>
        <v>150605.31999999995</v>
      </c>
      <c r="W8" s="103">
        <f>V8-U8</f>
        <v>-11739.289999999979</v>
      </c>
      <c r="X8" s="143">
        <f>#N/A</f>
        <v>0.9276890683343292</v>
      </c>
      <c r="Y8" s="199">
        <f>#N/A</f>
        <v>0.07968647992033606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f>956203+20517.1</f>
        <v>976720.1</v>
      </c>
      <c r="F9" s="102">
        <f>342289.04+20517.1+14456.11</f>
        <v>377262.24999999994</v>
      </c>
      <c r="G9" s="106">
        <v>380816.85</v>
      </c>
      <c r="H9" s="102">
        <f>G9-F9</f>
        <v>3554.600000000035</v>
      </c>
      <c r="I9" s="208">
        <f>#N/A</f>
        <v>1.0094220929870403</v>
      </c>
      <c r="J9" s="108">
        <f>#N/A</f>
        <v>-595903.25</v>
      </c>
      <c r="K9" s="148">
        <f>#N/A</f>
        <v>0.3898935324459894</v>
      </c>
      <c r="L9" s="108"/>
      <c r="M9" s="108"/>
      <c r="N9" s="108"/>
      <c r="O9" s="108">
        <v>775821.8</v>
      </c>
      <c r="P9" s="108">
        <f>#N/A</f>
        <v>200898.29999999993</v>
      </c>
      <c r="Q9" s="148">
        <f>#N/A</f>
        <v>1.2589490266965944</v>
      </c>
      <c r="R9" s="115">
        <v>281631.58</v>
      </c>
      <c r="S9" s="109">
        <f>#N/A</f>
        <v>99185.26999999996</v>
      </c>
      <c r="T9" s="144">
        <f>#N/A</f>
        <v>1.352180923744418</v>
      </c>
      <c r="U9" s="107">
        <f>F9-квітень!F9</f>
        <v>106611.10999999993</v>
      </c>
      <c r="V9" s="110">
        <f>G9-квітень!G9</f>
        <v>82462.77999999997</v>
      </c>
      <c r="W9" s="111">
        <f>V9-U9</f>
        <v>-24148.329999999958</v>
      </c>
      <c r="X9" s="148">
        <f>#N/A</f>
        <v>0.773491430677347</v>
      </c>
      <c r="Y9" s="200">
        <f>#N/A</f>
        <v>0.09323189704782364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881803+20517.1</f>
        <v>902320.1</v>
      </c>
      <c r="F10" s="71">
        <f>315213.7+20517.1+10056.11</f>
        <v>345786.91</v>
      </c>
      <c r="G10" s="94">
        <v>346610.71</v>
      </c>
      <c r="H10" s="71">
        <f>#N/A</f>
        <v>823.8000000000466</v>
      </c>
      <c r="I10" s="209">
        <f>#N/A</f>
        <v>1.002382392092286</v>
      </c>
      <c r="J10" s="72">
        <f>#N/A</f>
        <v>-555709.3899999999</v>
      </c>
      <c r="K10" s="75">
        <f>#N/A</f>
        <v>0.3841327595384388</v>
      </c>
      <c r="L10" s="72"/>
      <c r="M10" s="72"/>
      <c r="N10" s="72"/>
      <c r="O10" s="72">
        <v>709899.75</v>
      </c>
      <c r="P10" s="72">
        <f>#N/A</f>
        <v>192420.34999999998</v>
      </c>
      <c r="Q10" s="75">
        <f>#N/A</f>
        <v>1.2710528493635898</v>
      </c>
      <c r="R10" s="74">
        <v>257579.18</v>
      </c>
      <c r="S10" s="74">
        <f>#N/A</f>
        <v>89031.53000000003</v>
      </c>
      <c r="T10" s="145">
        <f>#N/A</f>
        <v>1.3456472297178679</v>
      </c>
      <c r="U10" s="73">
        <f>F10-квітень!F10</f>
        <v>96673.20999999996</v>
      </c>
      <c r="V10" s="98">
        <f>G10-квітень!G10</f>
        <v>74009.76000000001</v>
      </c>
      <c r="W10" s="74">
        <f>#N/A</f>
        <v>-22663.449999999953</v>
      </c>
      <c r="X10" s="75">
        <f>#N/A</f>
        <v>0.7655663859718741</v>
      </c>
      <c r="Y10" s="198">
        <f>#N/A</f>
        <v>0.07459438035427812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f>18441.3+2600</f>
        <v>21041.3</v>
      </c>
      <c r="G11" s="94">
        <v>21139.59</v>
      </c>
      <c r="H11" s="71">
        <f>#N/A</f>
        <v>98.29000000000087</v>
      </c>
      <c r="I11" s="209">
        <f>#N/A</f>
        <v>1.0046712893214773</v>
      </c>
      <c r="J11" s="72">
        <f>#N/A</f>
        <v>-28760.41</v>
      </c>
      <c r="K11" s="75">
        <f>#N/A</f>
        <v>0.42363907815631263</v>
      </c>
      <c r="L11" s="72"/>
      <c r="M11" s="72"/>
      <c r="N11" s="72"/>
      <c r="O11" s="72">
        <v>42516.41</v>
      </c>
      <c r="P11" s="72">
        <f>#N/A</f>
        <v>7383.5899999999965</v>
      </c>
      <c r="Q11" s="75">
        <f>#N/A</f>
        <v>1.1736644744934954</v>
      </c>
      <c r="R11" s="74">
        <v>15819.9</v>
      </c>
      <c r="S11" s="74">
        <f>#N/A</f>
        <v>5319.6900000000005</v>
      </c>
      <c r="T11" s="145">
        <f>#N/A</f>
        <v>1.3362657159653348</v>
      </c>
      <c r="U11" s="73">
        <f>F11-квітень!F11</f>
        <v>6506.5999999999985</v>
      </c>
      <c r="V11" s="98">
        <f>G11-квітень!G11</f>
        <v>4660.450000000001</v>
      </c>
      <c r="W11" s="74">
        <f>#N/A</f>
        <v>-1846.1499999999978</v>
      </c>
      <c r="X11" s="75">
        <f>#N/A</f>
        <v>0.7162650232072053</v>
      </c>
      <c r="Y11" s="198">
        <f>#N/A</f>
        <v>0.1626012414718394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f>4096.41+1800</f>
        <v>5896.41</v>
      </c>
      <c r="G12" s="94">
        <v>7275.55</v>
      </c>
      <c r="H12" s="71">
        <f>#N/A</f>
        <v>1379.1400000000003</v>
      </c>
      <c r="I12" s="209">
        <f>#N/A</f>
        <v>1.233894861449594</v>
      </c>
      <c r="J12" s="72">
        <f>#N/A</f>
        <v>-4724.45</v>
      </c>
      <c r="K12" s="75">
        <f>#N/A</f>
        <v>0.6062958333333334</v>
      </c>
      <c r="L12" s="72"/>
      <c r="M12" s="72"/>
      <c r="N12" s="72"/>
      <c r="O12" s="72">
        <v>11992.15</v>
      </c>
      <c r="P12" s="72">
        <f>#N/A</f>
        <v>7.850000000000364</v>
      </c>
      <c r="Q12" s="75">
        <f>#N/A</f>
        <v>1.0006545948808179</v>
      </c>
      <c r="R12" s="74">
        <v>3742.26</v>
      </c>
      <c r="S12" s="74">
        <f>#N/A</f>
        <v>3533.29</v>
      </c>
      <c r="T12" s="145">
        <f>#N/A</f>
        <v>1.9441594116923997</v>
      </c>
      <c r="U12" s="73">
        <f>F12-квітень!F12</f>
        <v>2752</v>
      </c>
      <c r="V12" s="98">
        <f>G12-квітень!G12</f>
        <v>3286.02</v>
      </c>
      <c r="W12" s="74">
        <f>#N/A</f>
        <v>534.02</v>
      </c>
      <c r="X12" s="75">
        <f>#N/A</f>
        <v>1.194047965116279</v>
      </c>
      <c r="Y12" s="198">
        <f>#N/A</f>
        <v>0.9435048168115818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4260</v>
      </c>
      <c r="G13" s="94">
        <v>5483.4</v>
      </c>
      <c r="H13" s="71">
        <f>#N/A</f>
        <v>1223.3999999999996</v>
      </c>
      <c r="I13" s="209">
        <f>#N/A</f>
        <v>1.2871830985915491</v>
      </c>
      <c r="J13" s="72">
        <f>#N/A</f>
        <v>-6516.6</v>
      </c>
      <c r="K13" s="75">
        <f>#N/A</f>
        <v>0.45694999999999997</v>
      </c>
      <c r="L13" s="72"/>
      <c r="M13" s="72"/>
      <c r="N13" s="72"/>
      <c r="O13" s="72">
        <v>10036.81</v>
      </c>
      <c r="P13" s="72">
        <f>#N/A</f>
        <v>1963.1900000000005</v>
      </c>
      <c r="Q13" s="75">
        <f>#N/A</f>
        <v>1.195599000080703</v>
      </c>
      <c r="R13" s="74">
        <v>3882.59</v>
      </c>
      <c r="S13" s="74">
        <f>#N/A</f>
        <v>1600.8099999999995</v>
      </c>
      <c r="T13" s="145">
        <f>#N/A</f>
        <v>1.4123046729116386</v>
      </c>
      <c r="U13" s="73">
        <f>F13-квітень!F13</f>
        <v>646.3000000000002</v>
      </c>
      <c r="V13" s="98">
        <f>G13-квітень!G13</f>
        <v>506.5599999999995</v>
      </c>
      <c r="W13" s="74">
        <f>#N/A</f>
        <v>-139.7400000000007</v>
      </c>
      <c r="X13" s="75">
        <f>#N/A</f>
        <v>0.7837846201454423</v>
      </c>
      <c r="Y13" s="198">
        <f>#N/A</f>
        <v>0.21670567283093556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277.63</v>
      </c>
      <c r="G14" s="94">
        <v>307.62</v>
      </c>
      <c r="H14" s="71">
        <f>#N/A</f>
        <v>29.99000000000001</v>
      </c>
      <c r="I14" s="209">
        <f>#N/A</f>
        <v>1.1080214674206679</v>
      </c>
      <c r="J14" s="72">
        <f>#N/A</f>
        <v>-192.38</v>
      </c>
      <c r="K14" s="75">
        <f>#N/A</f>
        <v>0.61524</v>
      </c>
      <c r="L14" s="72"/>
      <c r="M14" s="72"/>
      <c r="N14" s="72"/>
      <c r="O14" s="72">
        <v>1376.68</v>
      </c>
      <c r="P14" s="72">
        <f>#N/A</f>
        <v>-876.6800000000001</v>
      </c>
      <c r="Q14" s="75">
        <f>#N/A</f>
        <v>0.36319260830403577</v>
      </c>
      <c r="R14" s="74">
        <v>607.65</v>
      </c>
      <c r="S14" s="74">
        <f>#N/A</f>
        <v>-300.03</v>
      </c>
      <c r="T14" s="145">
        <f>#N/A</f>
        <v>0.5062453715132066</v>
      </c>
      <c r="U14" s="73">
        <f>F14-квітень!F14</f>
        <v>33</v>
      </c>
      <c r="V14" s="98">
        <f>G14-квітень!G14</f>
        <v>0</v>
      </c>
      <c r="W14" s="74">
        <f>#N/A</f>
        <v>-33</v>
      </c>
      <c r="X14" s="75">
        <f>#N/A</f>
        <v>0</v>
      </c>
      <c r="Y14" s="198">
        <f>#N/A</f>
        <v>0.14305276320917082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365</v>
      </c>
      <c r="G15" s="106">
        <v>1041.72</v>
      </c>
      <c r="H15" s="102">
        <f>#N/A</f>
        <v>676.72</v>
      </c>
      <c r="I15" s="208">
        <f>#N/A</f>
        <v>2.854027397260274</v>
      </c>
      <c r="J15" s="108">
        <f>#N/A</f>
        <v>141.72000000000003</v>
      </c>
      <c r="K15" s="108">
        <f>#N/A</f>
        <v>115.74666666666667</v>
      </c>
      <c r="L15" s="108"/>
      <c r="M15" s="108"/>
      <c r="N15" s="108"/>
      <c r="O15" s="108">
        <v>887.61</v>
      </c>
      <c r="P15" s="108">
        <f>#N/A</f>
        <v>12.389999999999986</v>
      </c>
      <c r="Q15" s="148">
        <f>#N/A</f>
        <v>1.0139588332713692</v>
      </c>
      <c r="R15" s="111">
        <v>44.56</v>
      </c>
      <c r="S15" s="111">
        <f>#N/A</f>
        <v>997.1600000000001</v>
      </c>
      <c r="T15" s="146">
        <f>#N/A</f>
        <v>23.377917414721722</v>
      </c>
      <c r="U15" s="107">
        <f>F15-квітень!F15</f>
        <v>300</v>
      </c>
      <c r="V15" s="110">
        <f>G15-квітень!G15</f>
        <v>704.04</v>
      </c>
      <c r="W15" s="111">
        <f>#N/A</f>
        <v>404.03999999999996</v>
      </c>
      <c r="X15" s="148">
        <f>#N/A</f>
        <v>2.3468</v>
      </c>
      <c r="Y15" s="197">
        <f>#N/A</f>
        <v>22.36395858145035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>#N/A</f>
        <v>0</v>
      </c>
      <c r="I16" s="208" t="e">
        <f>G16/F16/100</f>
        <v>#DIV/0!</v>
      </c>
      <c r="J16" s="108">
        <f>#N/A</f>
        <v>0</v>
      </c>
      <c r="K16" s="108" t="e">
        <f>#N/A</f>
        <v>#DIV/0!</v>
      </c>
      <c r="L16" s="108"/>
      <c r="M16" s="108"/>
      <c r="N16" s="108"/>
      <c r="O16" s="108"/>
      <c r="P16" s="108">
        <f>#N/A</f>
        <v>0</v>
      </c>
      <c r="Q16" s="148" t="e">
        <f>#N/A</f>
        <v>#DIV/0!</v>
      </c>
      <c r="R16" s="111">
        <f>O16</f>
        <v>0</v>
      </c>
      <c r="S16" s="111">
        <f>#N/A</f>
        <v>0</v>
      </c>
      <c r="T16" s="146" t="e">
        <f>#N/A</f>
        <v>#DIV/0!</v>
      </c>
      <c r="U16" s="107">
        <f>F16-квітень!F16</f>
        <v>0</v>
      </c>
      <c r="V16" s="110">
        <f>G16-квітень!G16</f>
        <v>0</v>
      </c>
      <c r="W16" s="111">
        <f>#N/A</f>
        <v>0</v>
      </c>
      <c r="X16" s="148" t="e">
        <f>V16/U16*100</f>
        <v>#DIV/0!</v>
      </c>
      <c r="Y16" s="197" t="e">
        <f>#N/A</f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>#N/A</f>
        <v>0</v>
      </c>
      <c r="I17" s="208"/>
      <c r="J17" s="108">
        <f>#N/A</f>
        <v>0</v>
      </c>
      <c r="K17" s="108"/>
      <c r="L17" s="108"/>
      <c r="M17" s="108"/>
      <c r="N17" s="108"/>
      <c r="O17" s="108">
        <v>0.49</v>
      </c>
      <c r="P17" s="108">
        <f>#N/A</f>
        <v>-0.49</v>
      </c>
      <c r="Q17" s="148">
        <f>#N/A</f>
        <v>0</v>
      </c>
      <c r="R17" s="111">
        <v>0</v>
      </c>
      <c r="S17" s="111">
        <f>#N/A</f>
        <v>0</v>
      </c>
      <c r="T17" s="146" t="e">
        <f>#N/A</f>
        <v>#DIV/0!</v>
      </c>
      <c r="U17" s="107">
        <f>F17-квітень!F17</f>
        <v>0</v>
      </c>
      <c r="V17" s="110">
        <f>G17-квітень!G17</f>
        <v>0</v>
      </c>
      <c r="W17" s="111">
        <f>#N/A</f>
        <v>0</v>
      </c>
      <c r="X17" s="148"/>
      <c r="Y17" s="197" t="e">
        <f>#N/A</f>
        <v>#DIV/0!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140.5</v>
      </c>
      <c r="G18" s="106">
        <v>194.24</v>
      </c>
      <c r="H18" s="102">
        <f>#N/A</f>
        <v>53.74000000000001</v>
      </c>
      <c r="I18" s="208">
        <f>#N/A</f>
        <v>1.382491103202847</v>
      </c>
      <c r="J18" s="108">
        <f>#N/A</f>
        <v>-41.359999999999985</v>
      </c>
      <c r="K18" s="108">
        <f>#N/A</f>
        <v>82.44482173174873</v>
      </c>
      <c r="L18" s="108"/>
      <c r="M18" s="108"/>
      <c r="N18" s="108"/>
      <c r="O18" s="108">
        <v>220.59</v>
      </c>
      <c r="P18" s="108">
        <f>#N/A</f>
        <v>15.009999999999991</v>
      </c>
      <c r="Q18" s="148">
        <f>#N/A</f>
        <v>1.0680447889750215</v>
      </c>
      <c r="R18" s="111">
        <v>118.46</v>
      </c>
      <c r="S18" s="111">
        <f>#N/A</f>
        <v>75.78000000000002</v>
      </c>
      <c r="T18" s="146">
        <f>#N/A</f>
        <v>1.639709606618268</v>
      </c>
      <c r="U18" s="107">
        <f>F18-квітень!F18</f>
        <v>20.5</v>
      </c>
      <c r="V18" s="110">
        <f>G18-квітень!G18</f>
        <v>0</v>
      </c>
      <c r="W18" s="111">
        <f>#N/A</f>
        <v>-20.5</v>
      </c>
      <c r="X18" s="148">
        <f>#N/A</f>
        <v>0</v>
      </c>
      <c r="Y18" s="197">
        <f>#N/A</f>
        <v>0.5716648176432464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v>56263</v>
      </c>
      <c r="G19" s="158">
        <v>48435.71</v>
      </c>
      <c r="H19" s="102">
        <f>#N/A</f>
        <v>-7827.290000000001</v>
      </c>
      <c r="I19" s="208">
        <f>#N/A</f>
        <v>0.8608803298793167</v>
      </c>
      <c r="J19" s="108">
        <f>#N/A</f>
        <v>-103292.29000000001</v>
      </c>
      <c r="K19" s="108">
        <f>#N/A</f>
        <v>31.922723557945798</v>
      </c>
      <c r="L19" s="108"/>
      <c r="M19" s="108"/>
      <c r="N19" s="108"/>
      <c r="O19" s="108">
        <v>121950.14</v>
      </c>
      <c r="P19" s="108">
        <f>#N/A</f>
        <v>29777.86</v>
      </c>
      <c r="Q19" s="148">
        <f>#N/A</f>
        <v>1.2441806134867905</v>
      </c>
      <c r="R19" s="111">
        <v>44995.09</v>
      </c>
      <c r="S19" s="111">
        <f>#N/A</f>
        <v>3440.6200000000026</v>
      </c>
      <c r="T19" s="146">
        <f>#N/A</f>
        <v>1.076466565574155</v>
      </c>
      <c r="U19" s="107">
        <f>F19-квітень!F19</f>
        <v>11273</v>
      </c>
      <c r="V19" s="110">
        <f>G19-квітень!G19</f>
        <v>11360.489999999998</v>
      </c>
      <c r="W19" s="111">
        <f>#N/A</f>
        <v>87.48999999999796</v>
      </c>
      <c r="X19" s="148">
        <f>#N/A</f>
        <v>1.00776102191076</v>
      </c>
      <c r="Y19" s="197">
        <f>#N/A</f>
        <v>-0.16771404791263556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21963</v>
      </c>
      <c r="G20" s="141">
        <v>21319.11</v>
      </c>
      <c r="H20" s="170">
        <f>#N/A</f>
        <v>-643.8899999999994</v>
      </c>
      <c r="I20" s="211">
        <f>#N/A</f>
        <v>0.9706829668078132</v>
      </c>
      <c r="J20" s="171">
        <f>#N/A</f>
        <v>-45388.89</v>
      </c>
      <c r="K20" s="171">
        <f>#N/A</f>
        <v>31.958850512682137</v>
      </c>
      <c r="L20" s="171"/>
      <c r="M20" s="171"/>
      <c r="N20" s="171"/>
      <c r="O20" s="171">
        <v>60736.45</v>
      </c>
      <c r="P20" s="171">
        <f>#N/A</f>
        <v>5971.550000000003</v>
      </c>
      <c r="Q20" s="180">
        <f>#N/A</f>
        <v>1.098319048940134</v>
      </c>
      <c r="R20" s="116">
        <v>26128.49</v>
      </c>
      <c r="S20" s="116">
        <f>#N/A</f>
        <v>-4809.380000000001</v>
      </c>
      <c r="T20" s="172">
        <f>#N/A</f>
        <v>0.8159334886937591</v>
      </c>
      <c r="U20" s="136">
        <f>F20-квітень!F20</f>
        <v>4273</v>
      </c>
      <c r="V20" s="124">
        <f>G20-квітень!G20</f>
        <v>4535.34</v>
      </c>
      <c r="W20" s="116">
        <f>#N/A</f>
        <v>262.34000000000015</v>
      </c>
      <c r="X20" s="180">
        <f>#N/A</f>
        <v>1.0613948045869412</v>
      </c>
      <c r="Y20" s="197">
        <f>#N/A</f>
        <v>-0.28238556024637484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6500</v>
      </c>
      <c r="G21" s="141">
        <v>5933.39</v>
      </c>
      <c r="H21" s="170">
        <f>#N/A</f>
        <v>-566.6099999999997</v>
      </c>
      <c r="I21" s="211">
        <f>#N/A</f>
        <v>0.9128292307692308</v>
      </c>
      <c r="J21" s="171">
        <f>#N/A</f>
        <v>-9762.61</v>
      </c>
      <c r="K21" s="171">
        <f>#N/A</f>
        <v>37.801924057084605</v>
      </c>
      <c r="L21" s="171"/>
      <c r="M21" s="171"/>
      <c r="N21" s="171"/>
      <c r="O21" s="171">
        <v>12528.71</v>
      </c>
      <c r="P21" s="171">
        <f>#N/A</f>
        <v>3167.290000000001</v>
      </c>
      <c r="Q21" s="180">
        <f>#N/A</f>
        <v>1.2528025630731336</v>
      </c>
      <c r="R21" s="116">
        <v>4093.69</v>
      </c>
      <c r="S21" s="116">
        <f>#N/A</f>
        <v>1839.7000000000003</v>
      </c>
      <c r="T21" s="172">
        <f>#N/A</f>
        <v>1.449398953022823</v>
      </c>
      <c r="U21" s="136">
        <f>F21-квітень!F21</f>
        <v>1300</v>
      </c>
      <c r="V21" s="124">
        <f>G21-квітень!G21</f>
        <v>1265.5</v>
      </c>
      <c r="W21" s="116">
        <f>#N/A</f>
        <v>-34.5</v>
      </c>
      <c r="X21" s="180">
        <f>#N/A</f>
        <v>0.9734615384615385</v>
      </c>
      <c r="Y21" s="197">
        <f>#N/A</f>
        <v>0.19659638994968942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27800</v>
      </c>
      <c r="G22" s="141">
        <v>21183.21</v>
      </c>
      <c r="H22" s="170">
        <f>#N/A</f>
        <v>-6616.790000000001</v>
      </c>
      <c r="I22" s="211">
        <f>#N/A</f>
        <v>0.7619859712230216</v>
      </c>
      <c r="J22" s="171">
        <f>#N/A</f>
        <v>-48140.79</v>
      </c>
      <c r="K22" s="171">
        <f>#N/A</f>
        <v>30.556820148866194</v>
      </c>
      <c r="L22" s="171"/>
      <c r="M22" s="171"/>
      <c r="N22" s="171"/>
      <c r="O22" s="171">
        <v>48684.98</v>
      </c>
      <c r="P22" s="171">
        <f>#N/A</f>
        <v>20639.019999999997</v>
      </c>
      <c r="Q22" s="180">
        <f>#N/A</f>
        <v>1.4239299266426728</v>
      </c>
      <c r="R22" s="116">
        <v>14772.92</v>
      </c>
      <c r="S22" s="116">
        <f>#N/A</f>
        <v>6410.289999999999</v>
      </c>
      <c r="T22" s="172">
        <f>#N/A</f>
        <v>1.4339216620681625</v>
      </c>
      <c r="U22" s="136">
        <f>F22-квітень!F22</f>
        <v>5700</v>
      </c>
      <c r="V22" s="124">
        <f>G22-квітень!G22</f>
        <v>5559.66</v>
      </c>
      <c r="W22" s="116">
        <f>#N/A</f>
        <v>-140.34000000000015</v>
      </c>
      <c r="X22" s="180">
        <f>#N/A</f>
        <v>0.975378947368421</v>
      </c>
      <c r="Y22" s="197">
        <f>#N/A</f>
        <v>0.0099917354254897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473667.19999999995</v>
      </c>
      <c r="F23" s="102">
        <f>F24+F43+F47+F42</f>
        <v>203137.2</v>
      </c>
      <c r="G23" s="158">
        <v>218819.18</v>
      </c>
      <c r="H23" s="102">
        <f>#N/A</f>
        <v>15681.979999999981</v>
      </c>
      <c r="I23" s="208">
        <f>#N/A</f>
        <v>1.0771989571580192</v>
      </c>
      <c r="J23" s="108">
        <f>#N/A</f>
        <v>-254848.01999999996</v>
      </c>
      <c r="K23" s="108">
        <f>#N/A</f>
        <v>46.19681920132954</v>
      </c>
      <c r="L23" s="108"/>
      <c r="M23" s="108"/>
      <c r="N23" s="108"/>
      <c r="O23" s="108">
        <v>430705.5</v>
      </c>
      <c r="P23" s="108">
        <f>#N/A</f>
        <v>42961.69999999995</v>
      </c>
      <c r="Q23" s="148">
        <f>#N/A</f>
        <v>1.099747275110255</v>
      </c>
      <c r="R23" s="108">
        <v>178305.79</v>
      </c>
      <c r="S23" s="111">
        <f>#N/A</f>
        <v>40513.389999999985</v>
      </c>
      <c r="T23" s="147">
        <f>#N/A</f>
        <v>1.2272129805767944</v>
      </c>
      <c r="U23" s="107">
        <f>F23-квітень!F23</f>
        <v>44140</v>
      </c>
      <c r="V23" s="110">
        <f>G23-квітень!G23</f>
        <v>56078.00999999998</v>
      </c>
      <c r="W23" s="111">
        <f>#N/A</f>
        <v>11938.00999999998</v>
      </c>
      <c r="X23" s="148">
        <f>#N/A</f>
        <v>1.2704578613502489</v>
      </c>
      <c r="Y23" s="197">
        <f>T23-Q23</f>
        <v>0.12746570546653935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85703.01000000001</v>
      </c>
      <c r="G24" s="158">
        <f>G25+G32+G35</f>
        <v>99179.31</v>
      </c>
      <c r="H24" s="102">
        <f>#N/A</f>
        <v>13476.299999999988</v>
      </c>
      <c r="I24" s="208">
        <f>#N/A</f>
        <v>1.1572441854725988</v>
      </c>
      <c r="J24" s="108">
        <f>#N/A</f>
        <v>-117662.69</v>
      </c>
      <c r="K24" s="148">
        <f>#N/A</f>
        <v>0.4573805351361821</v>
      </c>
      <c r="L24" s="108"/>
      <c r="M24" s="108"/>
      <c r="N24" s="108"/>
      <c r="O24" s="108">
        <v>207231.03</v>
      </c>
      <c r="P24" s="108">
        <f>#N/A</f>
        <v>9610.970000000001</v>
      </c>
      <c r="Q24" s="148">
        <f>#N/A</f>
        <v>1.0463780448323787</v>
      </c>
      <c r="R24" s="108">
        <v>81732.13</v>
      </c>
      <c r="S24" s="111">
        <f>#N/A</f>
        <v>17447.179999999993</v>
      </c>
      <c r="T24" s="147">
        <f>#N/A</f>
        <v>1.2134678247098172</v>
      </c>
      <c r="U24" s="107">
        <f>F24-квітень!F24</f>
        <v>15913</v>
      </c>
      <c r="V24" s="110">
        <f>G24-квітень!G24</f>
        <v>27819.449999999997</v>
      </c>
      <c r="W24" s="111">
        <f>#N/A</f>
        <v>11906.449999999997</v>
      </c>
      <c r="X24" s="148">
        <f>#N/A</f>
        <v>1.748221579840382</v>
      </c>
      <c r="Y24" s="197">
        <f>#N/A</f>
        <v>0.16708977987743845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11863.5</v>
      </c>
      <c r="G25" s="141">
        <v>13383.63</v>
      </c>
      <c r="H25" s="170">
        <f>#N/A</f>
        <v>1520.1299999999992</v>
      </c>
      <c r="I25" s="211">
        <f>#N/A</f>
        <v>1.128135036034897</v>
      </c>
      <c r="J25" s="171">
        <f>#N/A</f>
        <v>-15400.37</v>
      </c>
      <c r="K25" s="180">
        <f>#N/A</f>
        <v>0.4649676903835464</v>
      </c>
      <c r="L25" s="171"/>
      <c r="M25" s="171"/>
      <c r="N25" s="171"/>
      <c r="O25" s="171">
        <v>25414.16</v>
      </c>
      <c r="P25" s="171">
        <f>#N/A</f>
        <v>3369.84</v>
      </c>
      <c r="Q25" s="180">
        <f>#N/A</f>
        <v>1.1325969459545386</v>
      </c>
      <c r="R25" s="179">
        <v>10136.04</v>
      </c>
      <c r="S25" s="116">
        <f>#N/A</f>
        <v>3247.5899999999983</v>
      </c>
      <c r="T25" s="152">
        <f>#N/A</f>
        <v>1.3204002746634778</v>
      </c>
      <c r="U25" s="136">
        <f>F25-квітень!F25</f>
        <v>627</v>
      </c>
      <c r="V25" s="124">
        <f>G25-квітень!G25</f>
        <v>816.5199999999986</v>
      </c>
      <c r="W25" s="116">
        <f>#N/A</f>
        <v>189.51999999999862</v>
      </c>
      <c r="X25" s="180">
        <f>#N/A</f>
        <v>1.3022647527910665</v>
      </c>
      <c r="Y25" s="197">
        <f>#N/A</f>
        <v>0.18780332870893912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292.61</v>
      </c>
      <c r="G26" s="139">
        <f>G28+G29</f>
        <v>859.73</v>
      </c>
      <c r="H26" s="158">
        <f>#N/A</f>
        <v>567.12</v>
      </c>
      <c r="I26" s="212">
        <f>#N/A</f>
        <v>2.9381429206110523</v>
      </c>
      <c r="J26" s="176">
        <f>#N/A</f>
        <v>-662.27</v>
      </c>
      <c r="K26" s="191">
        <f>#N/A</f>
        <v>0.564868593955322</v>
      </c>
      <c r="L26" s="176"/>
      <c r="M26" s="176"/>
      <c r="N26" s="176"/>
      <c r="O26" s="176">
        <f>O28+O29</f>
        <v>1512.89</v>
      </c>
      <c r="P26" s="176">
        <f>#N/A</f>
        <v>9.1099999999999</v>
      </c>
      <c r="Q26" s="191">
        <f>#N/A</f>
        <v>1.006021587821983</v>
      </c>
      <c r="R26" s="140">
        <f>R28+R29</f>
        <v>197.27</v>
      </c>
      <c r="S26" s="201">
        <f>#N/A</f>
        <v>662.46</v>
      </c>
      <c r="T26" s="162">
        <f>#N/A</f>
        <v>4.358138591777767</v>
      </c>
      <c r="U26" s="167">
        <f>F26-квітень!F26</f>
        <v>12</v>
      </c>
      <c r="V26" s="167">
        <f>G26-квітень!G26</f>
        <v>161.44000000000005</v>
      </c>
      <c r="W26" s="176">
        <f>#N/A</f>
        <v>149.44000000000005</v>
      </c>
      <c r="X26" s="191">
        <f>#N/A</f>
        <v>13.453333333333338</v>
      </c>
      <c r="Y26" s="197">
        <f>#N/A</f>
        <v>3.352117003955784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11570.89</v>
      </c>
      <c r="G27" s="139">
        <f>G30+G31</f>
        <v>12523.900000000001</v>
      </c>
      <c r="H27" s="158">
        <f>#N/A</f>
        <v>953.010000000002</v>
      </c>
      <c r="I27" s="212">
        <f>#N/A</f>
        <v>1.0823627223143597</v>
      </c>
      <c r="J27" s="176">
        <f>#N/A</f>
        <v>-14738.099999999999</v>
      </c>
      <c r="K27" s="191">
        <f>#N/A</f>
        <v>0.45939036020834867</v>
      </c>
      <c r="L27" s="176"/>
      <c r="M27" s="176"/>
      <c r="N27" s="176"/>
      <c r="O27" s="176">
        <f>O30+O31</f>
        <v>23901.28</v>
      </c>
      <c r="P27" s="176">
        <f>#N/A</f>
        <v>3360.720000000001</v>
      </c>
      <c r="Q27" s="191">
        <f>#N/A</f>
        <v>1.1406083690915299</v>
      </c>
      <c r="R27" s="140">
        <f>R30+R31</f>
        <v>9938.769999999999</v>
      </c>
      <c r="S27" s="201">
        <f>#N/A</f>
        <v>2585.130000000003</v>
      </c>
      <c r="T27" s="162">
        <f>#N/A</f>
        <v>1.2601056267526065</v>
      </c>
      <c r="U27" s="167">
        <f>F27-квітень!F27</f>
        <v>615</v>
      </c>
      <c r="V27" s="167">
        <f>G27-квітень!G27</f>
        <v>655.0800000000017</v>
      </c>
      <c r="W27" s="176">
        <f>#N/A</f>
        <v>40.080000000001746</v>
      </c>
      <c r="X27" s="191">
        <f>#N/A</f>
        <v>1.06517073170732</v>
      </c>
      <c r="Y27" s="197">
        <f>#N/A</f>
        <v>0.11949725766107666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137.8</v>
      </c>
      <c r="G28" s="206">
        <v>170.7</v>
      </c>
      <c r="H28" s="218">
        <f>#N/A</f>
        <v>32.89999999999998</v>
      </c>
      <c r="I28" s="220">
        <f>#N/A</f>
        <v>1.238751814223512</v>
      </c>
      <c r="J28" s="221">
        <f>#N/A</f>
        <v>-145.3</v>
      </c>
      <c r="K28" s="222">
        <f>#N/A</f>
        <v>0.5401898734177215</v>
      </c>
      <c r="L28" s="176"/>
      <c r="M28" s="176"/>
      <c r="N28" s="176"/>
      <c r="O28" s="221">
        <v>275.91</v>
      </c>
      <c r="P28" s="221">
        <f>#N/A</f>
        <v>40.089999999999975</v>
      </c>
      <c r="Q28" s="222">
        <f>#N/A</f>
        <v>1.1453010039505636</v>
      </c>
      <c r="R28" s="221">
        <v>164.34</v>
      </c>
      <c r="S28" s="221">
        <f>#N/A</f>
        <v>6.359999999999985</v>
      </c>
      <c r="T28" s="222">
        <f>#N/A</f>
        <v>1.0387002555677254</v>
      </c>
      <c r="U28" s="206">
        <f>F28-квітень!F28</f>
        <v>5</v>
      </c>
      <c r="V28" s="206">
        <f>G28-квітень!G28</f>
        <v>2.8100000000000023</v>
      </c>
      <c r="W28" s="221">
        <f>#N/A</f>
        <v>-2.1899999999999977</v>
      </c>
      <c r="X28" s="222">
        <f>#N/A</f>
        <v>0.5620000000000005</v>
      </c>
      <c r="Y28" s="465">
        <f>#N/A</f>
        <v>-0.10660074838283817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154.81</v>
      </c>
      <c r="G29" s="206">
        <v>689.03</v>
      </c>
      <c r="H29" s="218">
        <f>#N/A</f>
        <v>534.22</v>
      </c>
      <c r="I29" s="220">
        <f>#N/A</f>
        <v>4.450810671145274</v>
      </c>
      <c r="J29" s="221">
        <f>#N/A</f>
        <v>-516.97</v>
      </c>
      <c r="K29" s="222">
        <f>#N/A</f>
        <v>0.571334991708126</v>
      </c>
      <c r="L29" s="176"/>
      <c r="M29" s="176"/>
      <c r="N29" s="176"/>
      <c r="O29" s="221">
        <v>1236.98</v>
      </c>
      <c r="P29" s="221">
        <f>#N/A</f>
        <v>-30.980000000000018</v>
      </c>
      <c r="Q29" s="222">
        <f>#N/A</f>
        <v>0.9749551326618053</v>
      </c>
      <c r="R29" s="221">
        <v>32.93</v>
      </c>
      <c r="S29" s="221">
        <f>#N/A</f>
        <v>656.1</v>
      </c>
      <c r="T29" s="222">
        <f>#N/A</f>
        <v>20.924081384755542</v>
      </c>
      <c r="U29" s="206">
        <f>F29-квітень!F29</f>
        <v>7</v>
      </c>
      <c r="V29" s="206">
        <f>G29-квітень!G29</f>
        <v>158.63</v>
      </c>
      <c r="W29" s="221">
        <f>#N/A</f>
        <v>151.63</v>
      </c>
      <c r="X29" s="222">
        <f>#N/A</f>
        <v>22.66142857142857</v>
      </c>
      <c r="Y29" s="465">
        <f>#N/A</f>
        <v>19.949126252093738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345.09</v>
      </c>
      <c r="G30" s="206">
        <v>978.54</v>
      </c>
      <c r="H30" s="218">
        <f>#N/A</f>
        <v>633.45</v>
      </c>
      <c r="I30" s="220">
        <f>#N/A</f>
        <v>2.8356081022342</v>
      </c>
      <c r="J30" s="221">
        <f>#N/A</f>
        <v>-1376.46</v>
      </c>
      <c r="K30" s="222">
        <f>#N/A</f>
        <v>0.41551592356687894</v>
      </c>
      <c r="L30" s="176"/>
      <c r="M30" s="176"/>
      <c r="N30" s="176"/>
      <c r="O30" s="221">
        <v>2220.25</v>
      </c>
      <c r="P30" s="221">
        <f>#N/A</f>
        <v>134.75</v>
      </c>
      <c r="Q30" s="222">
        <f>#N/A</f>
        <v>1.0606913635851818</v>
      </c>
      <c r="R30" s="221">
        <v>90.38</v>
      </c>
      <c r="S30" s="221">
        <f>#N/A</f>
        <v>888.16</v>
      </c>
      <c r="T30" s="222">
        <f>#N/A</f>
        <v>10.826952865678248</v>
      </c>
      <c r="U30" s="206">
        <f>F30-квітень!F30</f>
        <v>15</v>
      </c>
      <c r="V30" s="206">
        <f>G30-квітень!G30</f>
        <v>375.81999999999994</v>
      </c>
      <c r="W30" s="221">
        <f>#N/A</f>
        <v>360.81999999999994</v>
      </c>
      <c r="X30" s="222">
        <f>#N/A</f>
        <v>25.054666666666662</v>
      </c>
      <c r="Y30" s="465">
        <f>#N/A</f>
        <v>9.766261502093066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11225.8</v>
      </c>
      <c r="G31" s="206">
        <v>11545.36</v>
      </c>
      <c r="H31" s="218">
        <f>#N/A</f>
        <v>319.5600000000013</v>
      </c>
      <c r="I31" s="220">
        <f>#N/A</f>
        <v>1.0284665680842346</v>
      </c>
      <c r="J31" s="221">
        <f>#N/A</f>
        <v>-13361.64</v>
      </c>
      <c r="K31" s="222">
        <f>#N/A</f>
        <v>0.4635387642028346</v>
      </c>
      <c r="L31" s="176"/>
      <c r="M31" s="176"/>
      <c r="N31" s="176"/>
      <c r="O31" s="221">
        <v>21681.03</v>
      </c>
      <c r="P31" s="221">
        <f>#N/A</f>
        <v>3225.970000000001</v>
      </c>
      <c r="Q31" s="222">
        <f>#N/A</f>
        <v>1.148792285237371</v>
      </c>
      <c r="R31" s="221">
        <v>9848.39</v>
      </c>
      <c r="S31" s="221">
        <f>#N/A</f>
        <v>1696.9700000000012</v>
      </c>
      <c r="T31" s="222">
        <f>#N/A</f>
        <v>1.1723093825488229</v>
      </c>
      <c r="U31" s="206">
        <f>F31-квітень!F31</f>
        <v>600</v>
      </c>
      <c r="V31" s="206">
        <f>G31-квітень!G31</f>
        <v>279.2600000000002</v>
      </c>
      <c r="W31" s="221"/>
      <c r="X31" s="222">
        <f>#N/A</f>
        <v>0.4654333333333337</v>
      </c>
      <c r="Y31" s="465">
        <f>#N/A</f>
        <v>0.023517097311451796</v>
      </c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174.03</v>
      </c>
      <c r="G32" s="120">
        <v>524.71</v>
      </c>
      <c r="H32" s="170">
        <f>#N/A</f>
        <v>350.68000000000006</v>
      </c>
      <c r="I32" s="211">
        <f>#N/A</f>
        <v>3.015054875596162</v>
      </c>
      <c r="J32" s="171">
        <f>#N/A</f>
        <v>242.71000000000004</v>
      </c>
      <c r="K32" s="180">
        <f>#N/A</f>
        <v>1.8606737588652484</v>
      </c>
      <c r="L32" s="171"/>
      <c r="M32" s="171"/>
      <c r="N32" s="171"/>
      <c r="O32" s="171">
        <v>645.26</v>
      </c>
      <c r="P32" s="171">
        <f>#N/A</f>
        <v>-363.26</v>
      </c>
      <c r="Q32" s="180">
        <f>#N/A</f>
        <v>0.43703313393050863</v>
      </c>
      <c r="R32" s="121">
        <v>-45.48</v>
      </c>
      <c r="S32" s="121">
        <f>#N/A</f>
        <v>570.19</v>
      </c>
      <c r="T32" s="150">
        <f>#N/A</f>
        <v>-11.537159190853124</v>
      </c>
      <c r="U32" s="136">
        <f>F32-квітень!F32</f>
        <v>2</v>
      </c>
      <c r="V32" s="124">
        <f>G32-квітень!G32</f>
        <v>63.48000000000002</v>
      </c>
      <c r="W32" s="116">
        <f>#N/A</f>
        <v>61.48000000000002</v>
      </c>
      <c r="X32" s="180">
        <f>#N/A</f>
        <v>31.74000000000001</v>
      </c>
      <c r="Y32" s="198">
        <f>#N/A</f>
        <v>-11.974192324783633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178.57</v>
      </c>
      <c r="H33" s="71">
        <f>#N/A</f>
        <v>150.72</v>
      </c>
      <c r="I33" s="209">
        <f>#N/A</f>
        <v>6.411849192100538</v>
      </c>
      <c r="J33" s="72">
        <f>#N/A</f>
        <v>78.57</v>
      </c>
      <c r="K33" s="75">
        <f>#N/A</f>
        <v>1.7856999999999998</v>
      </c>
      <c r="L33" s="72"/>
      <c r="M33" s="72"/>
      <c r="N33" s="72"/>
      <c r="O33" s="72">
        <v>241.36</v>
      </c>
      <c r="P33" s="72">
        <f>#N/A</f>
        <v>-141.36</v>
      </c>
      <c r="Q33" s="75">
        <f>#N/A</f>
        <v>0.41431885979449784</v>
      </c>
      <c r="R33" s="72">
        <v>-193.4</v>
      </c>
      <c r="S33" s="72">
        <f>#N/A</f>
        <v>371.97</v>
      </c>
      <c r="T33" s="75">
        <f>#N/A</f>
        <v>-0.9233195449844881</v>
      </c>
      <c r="U33" s="73">
        <f>F33-квітень!F33</f>
        <v>0</v>
      </c>
      <c r="V33" s="98">
        <f>G33-квітень!G33</f>
        <v>57.22999999999999</v>
      </c>
      <c r="W33" s="74">
        <f>#N/A</f>
        <v>57.22999999999999</v>
      </c>
      <c r="X33" s="75" t="e">
        <f>#N/A</f>
        <v>#DIV/0!</v>
      </c>
      <c r="Y33" s="465">
        <f>#N/A</f>
        <v>-1.337638404778986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146.18</v>
      </c>
      <c r="G34" s="94">
        <v>346.14</v>
      </c>
      <c r="H34" s="71">
        <f>#N/A</f>
        <v>199.95999999999998</v>
      </c>
      <c r="I34" s="209">
        <f>#N/A</f>
        <v>2.3679025858530576</v>
      </c>
      <c r="J34" s="72">
        <f>#N/A</f>
        <v>164.14</v>
      </c>
      <c r="K34" s="75">
        <f>#N/A</f>
        <v>1.9018681318681319</v>
      </c>
      <c r="L34" s="72"/>
      <c r="M34" s="72"/>
      <c r="N34" s="72"/>
      <c r="O34" s="72">
        <v>403.91</v>
      </c>
      <c r="P34" s="72">
        <f>#N/A</f>
        <v>-221.91000000000003</v>
      </c>
      <c r="Q34" s="75">
        <f>#N/A</f>
        <v>0.45059542967492755</v>
      </c>
      <c r="R34" s="72">
        <v>147.92</v>
      </c>
      <c r="S34" s="72">
        <f>#N/A</f>
        <v>198.22</v>
      </c>
      <c r="T34" s="75">
        <f>#N/A</f>
        <v>2.3400486749594376</v>
      </c>
      <c r="U34" s="73">
        <f>F34-квітень!F34</f>
        <v>2</v>
      </c>
      <c r="V34" s="98">
        <f>G34-квітень!G34</f>
        <v>6.25</v>
      </c>
      <c r="W34" s="74"/>
      <c r="X34" s="75">
        <f>#N/A</f>
        <v>3.125</v>
      </c>
      <c r="Y34" s="465">
        <f>#N/A</f>
        <v>1.88945324528451</v>
      </c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73665.48000000001</v>
      </c>
      <c r="G35" s="120">
        <v>85270.97</v>
      </c>
      <c r="H35" s="102">
        <f>#N/A</f>
        <v>11605.48999999999</v>
      </c>
      <c r="I35" s="211">
        <f>#N/A</f>
        <v>1.1575431260340663</v>
      </c>
      <c r="J35" s="171">
        <f>#N/A</f>
        <v>-102505.03</v>
      </c>
      <c r="K35" s="180">
        <f>#N/A</f>
        <v>0.4541100566632584</v>
      </c>
      <c r="L35" s="171"/>
      <c r="M35" s="171"/>
      <c r="N35" s="171"/>
      <c r="O35" s="171">
        <v>181171.61</v>
      </c>
      <c r="P35" s="171">
        <f>#N/A</f>
        <v>6604.390000000014</v>
      </c>
      <c r="Q35" s="180">
        <f>#N/A</f>
        <v>1.0364537799272193</v>
      </c>
      <c r="R35" s="122">
        <v>71641.57</v>
      </c>
      <c r="S35" s="122">
        <f>#N/A</f>
        <v>13629.399999999994</v>
      </c>
      <c r="T35" s="149">
        <f>#N/A</f>
        <v>1.1902442953162526</v>
      </c>
      <c r="U35" s="136">
        <f>F35-квітень!F35</f>
        <v>15284.000000000007</v>
      </c>
      <c r="V35" s="124">
        <f>G35-квітень!G35</f>
        <v>26939.450000000004</v>
      </c>
      <c r="W35" s="116">
        <f>#N/A</f>
        <v>11655.449999999997</v>
      </c>
      <c r="X35" s="180">
        <f>#N/A</f>
        <v>1.7625915990578378</v>
      </c>
      <c r="Y35" s="198">
        <f>#N/A</f>
        <v>0.15379051538903332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>#N/A</f>
        <v>60690</v>
      </c>
      <c r="F36" s="139">
        <f>#N/A</f>
        <v>24279.230000000003</v>
      </c>
      <c r="G36" s="139">
        <f>G38+G40</f>
        <v>34404.409999999996</v>
      </c>
      <c r="H36" s="158">
        <f>#N/A</f>
        <v>10125.179999999993</v>
      </c>
      <c r="I36" s="212">
        <f>#N/A</f>
        <v>1.4170305236203946</v>
      </c>
      <c r="J36" s="176">
        <f>#N/A</f>
        <v>-26285.590000000004</v>
      </c>
      <c r="K36" s="191">
        <f>#N/A</f>
        <v>0.5668876256384906</v>
      </c>
      <c r="L36" s="176"/>
      <c r="M36" s="176"/>
      <c r="N36" s="176"/>
      <c r="O36" s="176">
        <f>O38+O40</f>
        <v>58608.68</v>
      </c>
      <c r="P36" s="176">
        <f>#N/A</f>
        <v>2081.3199999999997</v>
      </c>
      <c r="Q36" s="191">
        <f>#N/A</f>
        <v>1.0355121459824723</v>
      </c>
      <c r="R36" s="140">
        <f>R38+R40</f>
        <v>24151.24</v>
      </c>
      <c r="S36" s="140">
        <f>#N/A</f>
        <v>10253.169999999995</v>
      </c>
      <c r="T36" s="162">
        <f>#N/A</f>
        <v>1.4245401064293177</v>
      </c>
      <c r="U36" s="167">
        <f>F36-квітень!F36</f>
        <v>4984</v>
      </c>
      <c r="V36" s="167">
        <f>G36-квітень!G36</f>
        <v>16408.499999999996</v>
      </c>
      <c r="W36" s="176">
        <f>#N/A</f>
        <v>11424.499999999996</v>
      </c>
      <c r="X36" s="191">
        <f>#N/A</f>
        <v>329.22351524879605</v>
      </c>
      <c r="Y36" s="197">
        <f>#N/A</f>
        <v>0.3890279604468454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>#N/A</f>
        <v>127086</v>
      </c>
      <c r="F37" s="139">
        <f>#N/A</f>
        <v>49386.25</v>
      </c>
      <c r="G37" s="139">
        <f>#N/A</f>
        <v>50866.56</v>
      </c>
      <c r="H37" s="158">
        <f>#N/A</f>
        <v>1480.3099999999977</v>
      </c>
      <c r="I37" s="212">
        <f>#N/A</f>
        <v>1.0299741324761447</v>
      </c>
      <c r="J37" s="176">
        <f>#N/A</f>
        <v>-76219.44</v>
      </c>
      <c r="K37" s="191">
        <f>#N/A</f>
        <v>0.4002530569850337</v>
      </c>
      <c r="L37" s="176"/>
      <c r="M37" s="176"/>
      <c r="N37" s="176"/>
      <c r="O37" s="176">
        <f>O39+O41</f>
        <v>122562.93000000001</v>
      </c>
      <c r="P37" s="176">
        <f>#N/A</f>
        <v>4523.069999999992</v>
      </c>
      <c r="Q37" s="191">
        <f>#N/A</f>
        <v>1.0369040622641772</v>
      </c>
      <c r="R37" s="140">
        <f>R39+R41</f>
        <v>47490.229999999996</v>
      </c>
      <c r="S37" s="140">
        <f>#N/A</f>
        <v>3376.3300000000017</v>
      </c>
      <c r="T37" s="162">
        <f>#N/A</f>
        <v>1.071095254750293</v>
      </c>
      <c r="U37" s="167">
        <f>F37-квітень!F37</f>
        <v>10300</v>
      </c>
      <c r="V37" s="167">
        <f>G37-квітень!G37</f>
        <v>10530.949999999997</v>
      </c>
      <c r="W37" s="176">
        <f>#N/A</f>
        <v>230.9499999999971</v>
      </c>
      <c r="X37" s="191">
        <f>V37/U37</f>
        <v>1.0224223300970872</v>
      </c>
      <c r="Y37" s="197">
        <f>#N/A</f>
        <v>0.034191192486115796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23184.4</v>
      </c>
      <c r="G38" s="206">
        <v>33789.03</v>
      </c>
      <c r="H38" s="218">
        <f>#N/A</f>
        <v>10604.629999999997</v>
      </c>
      <c r="I38" s="220">
        <f>#N/A</f>
        <v>1.4574036852366246</v>
      </c>
      <c r="J38" s="221">
        <f>#N/A</f>
        <v>-23500.97</v>
      </c>
      <c r="K38" s="222">
        <f>#N/A</f>
        <v>0.5897893175074184</v>
      </c>
      <c r="L38" s="176"/>
      <c r="M38" s="176"/>
      <c r="N38" s="176"/>
      <c r="O38" s="221">
        <v>55246.24</v>
      </c>
      <c r="P38" s="221">
        <f>#N/A</f>
        <v>2043.760000000002</v>
      </c>
      <c r="Q38" s="222">
        <f>#N/A</f>
        <v>1.0369936487985427</v>
      </c>
      <c r="R38" s="221">
        <v>23545.81</v>
      </c>
      <c r="S38" s="221">
        <f>#N/A</f>
        <v>10243.219999999998</v>
      </c>
      <c r="T38" s="222">
        <f>#N/A</f>
        <v>1.4350336641636026</v>
      </c>
      <c r="U38" s="206">
        <f>F38-квітень!F38</f>
        <v>4700</v>
      </c>
      <c r="V38" s="206">
        <f>G38-квітень!G38</f>
        <v>16136.419999999998</v>
      </c>
      <c r="W38" s="221">
        <f>#N/A</f>
        <v>11436.419999999998</v>
      </c>
      <c r="X38" s="222">
        <f>#N/A</f>
        <v>343.32808510638296</v>
      </c>
      <c r="Y38" s="465">
        <f>#N/A</f>
        <v>0.39804001536505984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41593.45</v>
      </c>
      <c r="G39" s="206">
        <v>42875.4</v>
      </c>
      <c r="H39" s="218">
        <f>#N/A</f>
        <v>1281.9500000000044</v>
      </c>
      <c r="I39" s="220">
        <f>#N/A</f>
        <v>1.0308209585884316</v>
      </c>
      <c r="J39" s="221">
        <f>#N/A</f>
        <v>-63110.6</v>
      </c>
      <c r="K39" s="222">
        <f>#N/A</f>
        <v>0.40453833525182575</v>
      </c>
      <c r="L39" s="176"/>
      <c r="M39" s="176"/>
      <c r="N39" s="176"/>
      <c r="O39" s="221">
        <v>102196.35</v>
      </c>
      <c r="P39" s="221">
        <f>#N/A</f>
        <v>3789.649999999994</v>
      </c>
      <c r="Q39" s="222">
        <f>#N/A</f>
        <v>1.0370820484293226</v>
      </c>
      <c r="R39" s="221">
        <v>39491.46</v>
      </c>
      <c r="S39" s="221">
        <f>#N/A</f>
        <v>3383.9400000000023</v>
      </c>
      <c r="T39" s="222">
        <f>#N/A</f>
        <v>1.0856878930280116</v>
      </c>
      <c r="U39" s="206">
        <f>F39-квітень!F39</f>
        <v>8600</v>
      </c>
      <c r="V39" s="206">
        <f>G39-квітень!G39</f>
        <v>8968.120000000003</v>
      </c>
      <c r="W39" s="221">
        <f>#N/A</f>
        <v>368.1200000000026</v>
      </c>
      <c r="X39" s="222">
        <f>#N/A</f>
        <v>104.2804651162791</v>
      </c>
      <c r="Y39" s="465">
        <f>#N/A</f>
        <v>0.048605844598688996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1094.83</v>
      </c>
      <c r="G40" s="206">
        <v>615.38</v>
      </c>
      <c r="H40" s="218">
        <f>#N/A</f>
        <v>-479.44999999999993</v>
      </c>
      <c r="I40" s="220">
        <f>#N/A</f>
        <v>0.562078130851365</v>
      </c>
      <c r="J40" s="221">
        <f>#N/A</f>
        <v>-2784.62</v>
      </c>
      <c r="K40" s="222">
        <f>#N/A</f>
        <v>0.18099411764705883</v>
      </c>
      <c r="L40" s="176"/>
      <c r="M40" s="176"/>
      <c r="N40" s="176"/>
      <c r="O40" s="221">
        <v>3362.44</v>
      </c>
      <c r="P40" s="221">
        <f>#N/A</f>
        <v>37.559999999999945</v>
      </c>
      <c r="Q40" s="222">
        <f>#N/A</f>
        <v>1.0111704595472335</v>
      </c>
      <c r="R40" s="221">
        <v>605.43</v>
      </c>
      <c r="S40" s="221">
        <f>#N/A</f>
        <v>9.950000000000045</v>
      </c>
      <c r="T40" s="222">
        <f>#N/A</f>
        <v>1.0164346002015097</v>
      </c>
      <c r="U40" s="206">
        <f>F40-квітень!F40</f>
        <v>283.9999999999999</v>
      </c>
      <c r="V40" s="206">
        <f>G40-квітень!G40</f>
        <v>272.08</v>
      </c>
      <c r="W40" s="221">
        <f>#N/A</f>
        <v>-11.919999999999902</v>
      </c>
      <c r="X40" s="222">
        <f>#N/A</f>
        <v>95.80281690140848</v>
      </c>
      <c r="Y40" s="465">
        <f>#N/A</f>
        <v>0.0052641406542761615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7792.8</v>
      </c>
      <c r="G41" s="206">
        <v>7991.16</v>
      </c>
      <c r="H41" s="218">
        <f>#N/A</f>
        <v>198.35999999999967</v>
      </c>
      <c r="I41" s="220">
        <f>#N/A</f>
        <v>1.0254542654758239</v>
      </c>
      <c r="J41" s="221">
        <f>#N/A</f>
        <v>-13108.84</v>
      </c>
      <c r="K41" s="222">
        <f>#N/A</f>
        <v>0.37872796208530807</v>
      </c>
      <c r="L41" s="176"/>
      <c r="M41" s="176"/>
      <c r="N41" s="176"/>
      <c r="O41" s="221">
        <v>20366.58</v>
      </c>
      <c r="P41" s="221">
        <f>#N/A</f>
        <v>733.4199999999983</v>
      </c>
      <c r="Q41" s="222">
        <f>#N/A</f>
        <v>1.0360109552021006</v>
      </c>
      <c r="R41" s="221">
        <v>7998.77</v>
      </c>
      <c r="S41" s="221">
        <f>#N/A</f>
        <v>-7.610000000000582</v>
      </c>
      <c r="T41" s="222">
        <f>#N/A</f>
        <v>0.9990486037228223</v>
      </c>
      <c r="U41" s="206">
        <f>F41-квітень!F41</f>
        <v>1700</v>
      </c>
      <c r="V41" s="206">
        <f>G41-квітень!G41</f>
        <v>1562.83</v>
      </c>
      <c r="W41" s="221">
        <f>#N/A</f>
        <v>-137.17000000000007</v>
      </c>
      <c r="X41" s="222">
        <f>#N/A</f>
        <v>91.93117647058823</v>
      </c>
      <c r="Y41" s="465">
        <f>#N/A</f>
        <v>-0.03696235147927829</v>
      </c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v>0</v>
      </c>
      <c r="G42" s="139">
        <v>0</v>
      </c>
      <c r="H42" s="102">
        <f>#N/A</f>
        <v>0</v>
      </c>
      <c r="I42" s="208"/>
      <c r="J42" s="108">
        <f>#N/A</f>
        <v>0</v>
      </c>
      <c r="K42" s="108"/>
      <c r="L42" s="108"/>
      <c r="M42" s="108"/>
      <c r="N42" s="108"/>
      <c r="O42" s="108">
        <v>0.2</v>
      </c>
      <c r="P42" s="108">
        <f>#N/A</f>
        <v>-0.2</v>
      </c>
      <c r="Q42" s="148">
        <f>#N/A</f>
        <v>0</v>
      </c>
      <c r="R42" s="117">
        <v>0.2</v>
      </c>
      <c r="S42" s="108">
        <f>#N/A</f>
        <v>-0.2</v>
      </c>
      <c r="T42" s="148"/>
      <c r="U42" s="107">
        <f>F42-квітень!F42</f>
        <v>0</v>
      </c>
      <c r="V42" s="110">
        <f>G42-квітень!G42</f>
        <v>0</v>
      </c>
      <c r="W42" s="111">
        <f>#N/A</f>
        <v>0</v>
      </c>
      <c r="X42" s="148"/>
      <c r="Y42" s="197">
        <f>#N/A</f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77.43</v>
      </c>
      <c r="G43" s="106">
        <v>81.65</v>
      </c>
      <c r="H43" s="102">
        <f>#N/A</f>
        <v>4.219999999999999</v>
      </c>
      <c r="I43" s="208">
        <f>G43/F43</f>
        <v>1.0545008394679065</v>
      </c>
      <c r="J43" s="108">
        <f>#N/A</f>
        <v>-92.75</v>
      </c>
      <c r="K43" s="148">
        <f>G43/E43</f>
        <v>0.4681766055045872</v>
      </c>
      <c r="L43" s="108"/>
      <c r="M43" s="108"/>
      <c r="N43" s="108"/>
      <c r="O43" s="108">
        <v>156.82</v>
      </c>
      <c r="P43" s="108">
        <f>#N/A</f>
        <v>17.580000000000013</v>
      </c>
      <c r="Q43" s="148">
        <f>#N/A</f>
        <v>1.112103048080602</v>
      </c>
      <c r="R43" s="117">
        <v>75.23</v>
      </c>
      <c r="S43" s="108">
        <f>#N/A</f>
        <v>6.420000000000002</v>
      </c>
      <c r="T43" s="148">
        <f>#N/A</f>
        <v>1.0853382958925961</v>
      </c>
      <c r="U43" s="107">
        <f>F43-квітень!F43</f>
        <v>27.000000000000007</v>
      </c>
      <c r="V43" s="110">
        <f>G43-квітень!G43</f>
        <v>13.690000000000012</v>
      </c>
      <c r="W43" s="111">
        <f>#N/A</f>
        <v>-13.309999999999995</v>
      </c>
      <c r="X43" s="148">
        <f>V43/U43</f>
        <v>0.5070370370370374</v>
      </c>
      <c r="Y43" s="466">
        <f>#N/A</f>
        <v>-0.02676475218800589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47.9</v>
      </c>
      <c r="G44" s="94">
        <v>63.74</v>
      </c>
      <c r="H44" s="71">
        <f>#N/A</f>
        <v>15.840000000000003</v>
      </c>
      <c r="I44" s="209">
        <f>G44/F44</f>
        <v>1.3306889352818372</v>
      </c>
      <c r="J44" s="72">
        <f>#N/A</f>
        <v>-37.160000000000004</v>
      </c>
      <c r="K44" s="75">
        <f>G44/E44</f>
        <v>0.6317145688800793</v>
      </c>
      <c r="L44" s="72"/>
      <c r="M44" s="72"/>
      <c r="N44" s="72"/>
      <c r="O44" s="72">
        <v>95.14</v>
      </c>
      <c r="P44" s="72">
        <f>#N/A</f>
        <v>5.760000000000005</v>
      </c>
      <c r="Q44" s="75">
        <f>#N/A</f>
        <v>1.0605423586293883</v>
      </c>
      <c r="R44" s="72">
        <v>44.26</v>
      </c>
      <c r="S44" s="72">
        <f>#N/A</f>
        <v>19.480000000000004</v>
      </c>
      <c r="T44" s="75">
        <f>#N/A</f>
        <v>1.4401265250790782</v>
      </c>
      <c r="U44" s="73">
        <f>F44-квітень!F44</f>
        <v>17</v>
      </c>
      <c r="V44" s="98">
        <f>G44-квітень!G44</f>
        <v>7.690000000000005</v>
      </c>
      <c r="W44" s="74">
        <f>#N/A</f>
        <v>-9.309999999999995</v>
      </c>
      <c r="X44" s="75">
        <f>V44/U44</f>
        <v>0.45235294117647085</v>
      </c>
      <c r="Y44" s="465">
        <f>#N/A</f>
        <v>0.37958416644968995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29.53</v>
      </c>
      <c r="G45" s="94">
        <v>17.91</v>
      </c>
      <c r="H45" s="71">
        <f>#N/A</f>
        <v>-11.620000000000001</v>
      </c>
      <c r="I45" s="209">
        <f>G45/F45</f>
        <v>0.6065018625126989</v>
      </c>
      <c r="J45" s="72">
        <f>#N/A</f>
        <v>-55.59</v>
      </c>
      <c r="K45" s="75">
        <f>G45/E45</f>
        <v>0.2436734693877551</v>
      </c>
      <c r="L45" s="72"/>
      <c r="M45" s="72"/>
      <c r="N45" s="72"/>
      <c r="O45" s="72">
        <v>61.68</v>
      </c>
      <c r="P45" s="72">
        <f>#N/A</f>
        <v>11.82</v>
      </c>
      <c r="Q45" s="75">
        <f>#N/A</f>
        <v>1.1916342412451362</v>
      </c>
      <c r="R45" s="72">
        <v>30.97</v>
      </c>
      <c r="S45" s="72">
        <f>#N/A</f>
        <v>-13.059999999999999</v>
      </c>
      <c r="T45" s="75">
        <f>#N/A</f>
        <v>0.5783015821762997</v>
      </c>
      <c r="U45" s="73">
        <f>F45-квітень!F45</f>
        <v>10</v>
      </c>
      <c r="V45" s="98">
        <f>G45-квітень!G45</f>
        <v>6</v>
      </c>
      <c r="W45" s="74">
        <f>#N/A</f>
        <v>-4</v>
      </c>
      <c r="X45" s="75">
        <f>V45/U45</f>
        <v>0.6</v>
      </c>
      <c r="Y45" s="465">
        <f>#N/A</f>
        <v>-0.6133326590688365</v>
      </c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-21.01</v>
      </c>
      <c r="H46" s="102">
        <f>#N/A</f>
        <v>-21.01</v>
      </c>
      <c r="I46" s="208"/>
      <c r="J46" s="108">
        <f>#N/A</f>
        <v>-21.01</v>
      </c>
      <c r="K46" s="148"/>
      <c r="L46" s="108"/>
      <c r="M46" s="108"/>
      <c r="N46" s="108"/>
      <c r="O46" s="108">
        <v>-50.78</v>
      </c>
      <c r="P46" s="108">
        <f>#N/A</f>
        <v>50.78</v>
      </c>
      <c r="Q46" s="148">
        <f>#N/A</f>
        <v>0</v>
      </c>
      <c r="R46" s="108">
        <v>-26.77</v>
      </c>
      <c r="S46" s="108">
        <f>#N/A</f>
        <v>5.759999999999998</v>
      </c>
      <c r="T46" s="148">
        <f>#N/A</f>
        <v>0.7848337691445649</v>
      </c>
      <c r="U46" s="107">
        <f>F46-квітень!F46</f>
        <v>0</v>
      </c>
      <c r="V46" s="110">
        <f>G46-квітень!G46</f>
        <v>-19.830000000000002</v>
      </c>
      <c r="W46" s="111">
        <f>#N/A</f>
        <v>-19.830000000000002</v>
      </c>
      <c r="X46" s="148"/>
      <c r="Y46" s="197">
        <f>#N/A</f>
        <v>0.7848337691445649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256650.8</v>
      </c>
      <c r="F47" s="112">
        <f>F48+F49+F50+F51</f>
        <v>117356.76</v>
      </c>
      <c r="G47" s="113">
        <v>119579.24</v>
      </c>
      <c r="H47" s="102">
        <f>#N/A</f>
        <v>2222.4800000000105</v>
      </c>
      <c r="I47" s="208">
        <f>G47/F47</f>
        <v>1.0189378098032018</v>
      </c>
      <c r="J47" s="108">
        <f>#N/A</f>
        <v>-137071.56</v>
      </c>
      <c r="K47" s="148">
        <f>G47/E47</f>
        <v>0.46592194530467085</v>
      </c>
      <c r="L47" s="108"/>
      <c r="M47" s="108"/>
      <c r="N47" s="108"/>
      <c r="O47" s="108">
        <v>223368.23</v>
      </c>
      <c r="P47" s="108">
        <f>#N/A</f>
        <v>33282.56999999998</v>
      </c>
      <c r="Q47" s="148">
        <f>#N/A</f>
        <v>1.1490031505375673</v>
      </c>
      <c r="R47" s="123">
        <v>96524.99</v>
      </c>
      <c r="S47" s="123">
        <f>#N/A</f>
        <v>23054.25</v>
      </c>
      <c r="T47" s="160">
        <f>#N/A</f>
        <v>1.2388422935863552</v>
      </c>
      <c r="U47" s="107">
        <f>F47-квітень!F47</f>
        <v>28200</v>
      </c>
      <c r="V47" s="110">
        <f>G47-квітень!G47</f>
        <v>28264.70000000001</v>
      </c>
      <c r="W47" s="111">
        <f>#N/A</f>
        <v>64.70000000001164</v>
      </c>
      <c r="X47" s="148">
        <f>V47/U47</f>
        <v>1.0022943262411352</v>
      </c>
      <c r="Y47" s="197">
        <f>#N/A</f>
        <v>0.08983914304878793</v>
      </c>
    </row>
    <row r="48" spans="1:25" s="6" customFormat="1" ht="15" customHeight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</v>
      </c>
      <c r="H48" s="71">
        <f>G48-F48</f>
        <v>0</v>
      </c>
      <c r="I48" s="209"/>
      <c r="J48" s="72">
        <f>#N/A</f>
        <v>0</v>
      </c>
      <c r="K48" s="75"/>
      <c r="L48" s="72"/>
      <c r="M48" s="72"/>
      <c r="N48" s="72"/>
      <c r="O48" s="72">
        <v>0.01</v>
      </c>
      <c r="P48" s="72">
        <f>#N/A</f>
        <v>-0.01</v>
      </c>
      <c r="Q48" s="75">
        <f>#N/A</f>
        <v>0</v>
      </c>
      <c r="R48" s="85">
        <v>0.01</v>
      </c>
      <c r="S48" s="85">
        <f>#N/A</f>
        <v>-0.01</v>
      </c>
      <c r="T48" s="153">
        <f>#N/A</f>
        <v>0</v>
      </c>
      <c r="U48" s="73">
        <f>F48-квітень!F48</f>
        <v>0</v>
      </c>
      <c r="V48" s="98">
        <f>G48-квітень!G48</f>
        <v>0</v>
      </c>
      <c r="W48" s="74">
        <f>#N/A</f>
        <v>0</v>
      </c>
      <c r="X48" s="75"/>
      <c r="Y48" s="197">
        <f>#N/A</f>
        <v>0</v>
      </c>
    </row>
    <row r="49" spans="1:25" s="6" customFormat="1" ht="15" customHeight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25483.87</v>
      </c>
      <c r="G49" s="94">
        <v>23123.2</v>
      </c>
      <c r="H49" s="71">
        <f>G49-F49</f>
        <v>-2360.6699999999983</v>
      </c>
      <c r="I49" s="209">
        <f>G49/F49</f>
        <v>0.9073661104063081</v>
      </c>
      <c r="J49" s="72">
        <f>#N/A</f>
        <v>-32591.8</v>
      </c>
      <c r="K49" s="75">
        <f>G49/E49</f>
        <v>0.4150264740195639</v>
      </c>
      <c r="L49" s="72"/>
      <c r="M49" s="72"/>
      <c r="N49" s="72"/>
      <c r="O49" s="72">
        <v>45030.34</v>
      </c>
      <c r="P49" s="72">
        <f>#N/A</f>
        <v>10684.660000000003</v>
      </c>
      <c r="Q49" s="75">
        <f>#N/A</f>
        <v>1.2372769115223203</v>
      </c>
      <c r="R49" s="85">
        <v>19261.69</v>
      </c>
      <c r="S49" s="85">
        <f>#N/A</f>
        <v>3861.510000000002</v>
      </c>
      <c r="T49" s="153">
        <f>#N/A</f>
        <v>1.2004761783623348</v>
      </c>
      <c r="U49" s="73">
        <f>F49-квітень!F49</f>
        <v>6500</v>
      </c>
      <c r="V49" s="98">
        <f>G49-квітень!G49</f>
        <v>5200.040000000001</v>
      </c>
      <c r="W49" s="74">
        <f>#N/A</f>
        <v>-1299.9599999999991</v>
      </c>
      <c r="X49" s="75">
        <f>V49/U49</f>
        <v>0.800006153846154</v>
      </c>
      <c r="Y49" s="197">
        <f>#N/A</f>
        <v>-0.036800733159985555</v>
      </c>
    </row>
    <row r="50" spans="1:25" s="6" customFormat="1" ht="15" customHeight="1">
      <c r="A50" s="8"/>
      <c r="B50" s="41" t="s">
        <v>79</v>
      </c>
      <c r="C50" s="70">
        <v>18050400</v>
      </c>
      <c r="D50" s="230">
        <v>198755</v>
      </c>
      <c r="E50" s="71">
        <f>198755+2100</f>
        <v>200855</v>
      </c>
      <c r="F50" s="71">
        <f>89740.49+2100</f>
        <v>91840.49</v>
      </c>
      <c r="G50" s="94">
        <v>96423.63</v>
      </c>
      <c r="H50" s="71">
        <f>G50-F50</f>
        <v>4583.139999999999</v>
      </c>
      <c r="I50" s="209">
        <f>G50/F50</f>
        <v>1.0499032616224064</v>
      </c>
      <c r="J50" s="72">
        <f>#N/A</f>
        <v>-104431.37</v>
      </c>
      <c r="K50" s="75">
        <f>G50/E50</f>
        <v>0.48006586841253646</v>
      </c>
      <c r="L50" s="72"/>
      <c r="M50" s="72"/>
      <c r="N50" s="72"/>
      <c r="O50" s="72">
        <v>178270.24</v>
      </c>
      <c r="P50" s="72">
        <f>#N/A</f>
        <v>22584.76000000001</v>
      </c>
      <c r="Q50" s="75">
        <f>#N/A</f>
        <v>1.1266883356414397</v>
      </c>
      <c r="R50" s="85">
        <v>77240.19</v>
      </c>
      <c r="S50" s="85">
        <f>#N/A</f>
        <v>19183.440000000002</v>
      </c>
      <c r="T50" s="153">
        <f>#N/A</f>
        <v>1.2483608598062745</v>
      </c>
      <c r="U50" s="73">
        <f>F50-квітень!F50</f>
        <v>21700</v>
      </c>
      <c r="V50" s="98">
        <f>G50-квітень!G50</f>
        <v>23064.660000000003</v>
      </c>
      <c r="W50" s="74">
        <f>#N/A</f>
        <v>1364.6600000000035</v>
      </c>
      <c r="X50" s="75">
        <f>V50/U50</f>
        <v>1.0628875576036867</v>
      </c>
      <c r="Y50" s="197">
        <f>#N/A</f>
        <v>0.12167252416483487</v>
      </c>
    </row>
    <row r="51" spans="1:25" s="6" customFormat="1" ht="15" customHeight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32.4</v>
      </c>
      <c r="G51" s="94">
        <v>32.41</v>
      </c>
      <c r="H51" s="71">
        <f>G51-F51</f>
        <v>0.00999999999999801</v>
      </c>
      <c r="I51" s="209">
        <f>G51/F51</f>
        <v>1.0003086419753087</v>
      </c>
      <c r="J51" s="72">
        <f>#N/A</f>
        <v>-48.39</v>
      </c>
      <c r="K51" s="75">
        <f>G51/E51</f>
        <v>0.4011138613861386</v>
      </c>
      <c r="L51" s="72"/>
      <c r="M51" s="72"/>
      <c r="N51" s="72"/>
      <c r="O51" s="72">
        <v>67.63</v>
      </c>
      <c r="P51" s="72">
        <f>#N/A</f>
        <v>13.170000000000002</v>
      </c>
      <c r="Q51" s="75">
        <f>#N/A</f>
        <v>1.1947360638769777</v>
      </c>
      <c r="R51" s="85">
        <v>23.09</v>
      </c>
      <c r="S51" s="85">
        <f>#N/A</f>
        <v>9.319999999999997</v>
      </c>
      <c r="T51" s="153">
        <f>#N/A</f>
        <v>1.4036379385015156</v>
      </c>
      <c r="U51" s="73">
        <f>F51-квітень!F51</f>
        <v>0</v>
      </c>
      <c r="V51" s="98">
        <f>G51-квітень!G51</f>
        <v>0</v>
      </c>
      <c r="W51" s="74">
        <f>#N/A</f>
        <v>0</v>
      </c>
      <c r="X51" s="75"/>
      <c r="Y51" s="197">
        <f>#N/A</f>
        <v>0.2089018746245379</v>
      </c>
    </row>
    <row r="52" spans="1:25" s="6" customFormat="1" ht="15" customHeight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>#N/A</f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>#N/A</f>
        <v>0</v>
      </c>
      <c r="T52" s="154"/>
      <c r="U52" s="91">
        <f>F52-квітень!F52</f>
        <v>0</v>
      </c>
      <c r="V52" s="99">
        <f>G52-квітень!G52</f>
        <v>0</v>
      </c>
      <c r="W52" s="117">
        <f>#N/A</f>
        <v>0</v>
      </c>
      <c r="X52" s="67"/>
      <c r="Y52" s="197">
        <f>#N/A</f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E54+E55+E56+E57+E58+E60+E62+E63+E64+E65+E66+E71+E72+E76+E59+E61+E77</f>
        <v>50248.9</v>
      </c>
      <c r="F53" s="103">
        <f>F54+F55+F56+F57+F58+F60+F62+F63+F64+F65+F66+F71+F72+F76+F59+F61+F77</f>
        <v>23391.800000000003</v>
      </c>
      <c r="G53" s="103">
        <f>G54+G55+G56+G57+G58+G60+G62+G63+G64+G65+G66+G71+G72+G76+G59+G61+G77</f>
        <v>24067.379999999997</v>
      </c>
      <c r="H53" s="315">
        <f>#N/A</f>
        <v>675.5799999999945</v>
      </c>
      <c r="I53" s="143">
        <f>#N/A</f>
        <v>1.0288810608845833</v>
      </c>
      <c r="J53" s="104">
        <f>G53-E53</f>
        <v>-26181.520000000004</v>
      </c>
      <c r="K53" s="156">
        <f>#N/A</f>
        <v>0.4789633205901024</v>
      </c>
      <c r="L53" s="104"/>
      <c r="M53" s="104"/>
      <c r="N53" s="104"/>
      <c r="O53" s="104">
        <v>69380.98</v>
      </c>
      <c r="P53" s="104">
        <f>E53-O53</f>
        <v>-19132.079999999994</v>
      </c>
      <c r="Q53" s="156">
        <f>E53/O53</f>
        <v>0.7242460397647886</v>
      </c>
      <c r="R53" s="173">
        <v>27355.12</v>
      </c>
      <c r="S53" s="103">
        <f>#N/A</f>
        <v>-3287.7400000000016</v>
      </c>
      <c r="T53" s="143">
        <f>G53/R53</f>
        <v>0.879812627398454</v>
      </c>
      <c r="U53" s="103">
        <f>U54+U55+U56+U57+U58+U60+U62+U63+U64+U65+U66+U71+U72+U76+U59+U61+U77</f>
        <v>9001.25</v>
      </c>
      <c r="V53" s="103">
        <f>V54+V55+V56+V57+V58+V60+V62+V63+V64+V65+V66+V71+V72+V76+V59+V61+V77</f>
        <v>7931.590000000001</v>
      </c>
      <c r="W53" s="467">
        <f>#N/A</f>
        <v>-1069.659999999999</v>
      </c>
      <c r="X53" s="143">
        <f>V53/U53</f>
        <v>0.8811653936953202</v>
      </c>
      <c r="Y53" s="197">
        <f>#N/A</f>
        <v>0.15556658763366538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f>1106.11+1543.89</f>
        <v>2650</v>
      </c>
      <c r="G54" s="106">
        <v>2727.45</v>
      </c>
      <c r="H54" s="102">
        <f>#N/A</f>
        <v>77.44999999999982</v>
      </c>
      <c r="I54" s="213">
        <f>#N/A</f>
        <v>1.0292264150943395</v>
      </c>
      <c r="J54" s="115">
        <f>G54-E54</f>
        <v>77.44999999999982</v>
      </c>
      <c r="K54" s="155">
        <f>#N/A</f>
        <v>1.0292264150943395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2204.77</v>
      </c>
      <c r="S54" s="115">
        <f>#N/A</f>
        <v>522.6799999999998</v>
      </c>
      <c r="T54" s="155">
        <f>G54/R54</f>
        <v>1.237067812062029</v>
      </c>
      <c r="U54" s="107">
        <f>F54-квітень!F54</f>
        <v>2643.89</v>
      </c>
      <c r="V54" s="110">
        <f>G54-квітень!G54</f>
        <v>2668.54</v>
      </c>
      <c r="W54" s="111">
        <f>#N/A</f>
        <v>24.65000000000009</v>
      </c>
      <c r="X54" s="155">
        <f>V54/U54</f>
        <v>1.0093233833480213</v>
      </c>
      <c r="Y54" s="197">
        <f>#N/A</f>
        <v>0.23097812201358492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f>5000+2000</f>
        <v>7000</v>
      </c>
      <c r="F55" s="102">
        <f>1500.08+1800</f>
        <v>3300.08</v>
      </c>
      <c r="G55" s="106">
        <v>3366.37</v>
      </c>
      <c r="H55" s="102">
        <f>#N/A</f>
        <v>66.28999999999996</v>
      </c>
      <c r="I55" s="213">
        <f>#N/A</f>
        <v>1.0200873918208044</v>
      </c>
      <c r="J55" s="115">
        <f>#N/A</f>
        <v>-3633.63</v>
      </c>
      <c r="K55" s="155">
        <f>#N/A</f>
        <v>0.48091</v>
      </c>
      <c r="L55" s="115"/>
      <c r="M55" s="115"/>
      <c r="N55" s="115"/>
      <c r="O55" s="115">
        <v>27997.6</v>
      </c>
      <c r="P55" s="115">
        <f>#N/A</f>
        <v>-20997.6</v>
      </c>
      <c r="Q55" s="155">
        <f>#N/A</f>
        <v>0.2500214304083207</v>
      </c>
      <c r="R55" s="115">
        <v>10479.16</v>
      </c>
      <c r="S55" s="115">
        <f>#N/A</f>
        <v>-7112.79</v>
      </c>
      <c r="T55" s="155">
        <f>#N/A</f>
        <v>0.3212442600361098</v>
      </c>
      <c r="U55" s="107">
        <f>F55-квітень!F55</f>
        <v>2300</v>
      </c>
      <c r="V55" s="110">
        <f>G55-квітень!G55</f>
        <v>1129.1999999999998</v>
      </c>
      <c r="W55" s="111">
        <f>#N/A</f>
        <v>-1170.8000000000002</v>
      </c>
      <c r="X55" s="155">
        <f>#N/A</f>
        <v>0.49095652173913035</v>
      </c>
      <c r="Y55" s="197">
        <f>#N/A</f>
        <v>0.07122282962778909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56</v>
      </c>
      <c r="G56" s="106">
        <v>51.82</v>
      </c>
      <c r="H56" s="102">
        <f>#N/A</f>
        <v>-4.18</v>
      </c>
      <c r="I56" s="213">
        <f>#N/A</f>
        <v>0.9253571428571429</v>
      </c>
      <c r="J56" s="115">
        <f>#N/A</f>
        <v>-106.18</v>
      </c>
      <c r="K56" s="155">
        <f>#N/A</f>
        <v>0.3279746835443038</v>
      </c>
      <c r="L56" s="115"/>
      <c r="M56" s="115"/>
      <c r="N56" s="115"/>
      <c r="O56" s="115">
        <v>153.3</v>
      </c>
      <c r="P56" s="115">
        <f>#N/A</f>
        <v>4.699999999999989</v>
      </c>
      <c r="Q56" s="155">
        <f>#N/A</f>
        <v>1.030658838878017</v>
      </c>
      <c r="R56" s="115">
        <v>92.8</v>
      </c>
      <c r="S56" s="115">
        <f>#N/A</f>
        <v>-40.98</v>
      </c>
      <c r="T56" s="155">
        <f>#N/A</f>
        <v>0.5584051724137932</v>
      </c>
      <c r="U56" s="107">
        <f>F56-квітень!F56</f>
        <v>14</v>
      </c>
      <c r="V56" s="110">
        <f>G56-квітень!G56</f>
        <v>0</v>
      </c>
      <c r="W56" s="111">
        <f>#N/A</f>
        <v>-14</v>
      </c>
      <c r="X56" s="155">
        <f>#N/A</f>
        <v>0</v>
      </c>
      <c r="Y56" s="197">
        <f>#N/A</f>
        <v>-0.47225366646422373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6</v>
      </c>
      <c r="G57" s="106">
        <v>2.02</v>
      </c>
      <c r="H57" s="102">
        <f>#N/A</f>
        <v>-3.98</v>
      </c>
      <c r="I57" s="213">
        <f>#N/A</f>
        <v>0.33666666666666667</v>
      </c>
      <c r="J57" s="115">
        <f>#N/A</f>
        <v>-10.98</v>
      </c>
      <c r="K57" s="155">
        <f>#N/A</f>
        <v>0.1553846153846154</v>
      </c>
      <c r="L57" s="115"/>
      <c r="M57" s="115"/>
      <c r="N57" s="115"/>
      <c r="O57" s="115">
        <v>12.95</v>
      </c>
      <c r="P57" s="115">
        <f>#N/A</f>
        <v>0.05000000000000071</v>
      </c>
      <c r="Q57" s="225">
        <f>#N/A</f>
        <v>1.0038610038610039</v>
      </c>
      <c r="R57" s="115">
        <v>2.03</v>
      </c>
      <c r="S57" s="115">
        <f>#N/A</f>
        <v>-0.009999999999999787</v>
      </c>
      <c r="T57" s="155"/>
      <c r="U57" s="107">
        <f>F57-квітень!F57</f>
        <v>1</v>
      </c>
      <c r="V57" s="110">
        <f>G57-квітень!G57</f>
        <v>0</v>
      </c>
      <c r="W57" s="111">
        <f>#N/A</f>
        <v>-1</v>
      </c>
      <c r="X57" s="155">
        <f>#N/A</f>
        <v>0</v>
      </c>
      <c r="Y57" s="197">
        <f>#N/A</f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268.43</v>
      </c>
      <c r="G58" s="106">
        <v>544.78</v>
      </c>
      <c r="H58" s="102">
        <f>#N/A</f>
        <v>276.34999999999997</v>
      </c>
      <c r="I58" s="213">
        <f>#N/A</f>
        <v>2.0295048988563127</v>
      </c>
      <c r="J58" s="115">
        <f>#N/A</f>
        <v>-199.22000000000003</v>
      </c>
      <c r="K58" s="155">
        <f>#N/A</f>
        <v>0.7322311827956989</v>
      </c>
      <c r="L58" s="115"/>
      <c r="M58" s="115"/>
      <c r="N58" s="115"/>
      <c r="O58" s="115">
        <v>705.31</v>
      </c>
      <c r="P58" s="115">
        <f>#N/A</f>
        <v>38.690000000000055</v>
      </c>
      <c r="Q58" s="155">
        <f>#N/A</f>
        <v>1.0548553118486907</v>
      </c>
      <c r="R58" s="115">
        <v>442.26</v>
      </c>
      <c r="S58" s="115">
        <f>#N/A</f>
        <v>102.51999999999998</v>
      </c>
      <c r="T58" s="155">
        <f>#N/A</f>
        <v>1.231809342920454</v>
      </c>
      <c r="U58" s="107">
        <f>F58-квітень!F58</f>
        <v>60</v>
      </c>
      <c r="V58" s="110">
        <f>G58-квітень!G58</f>
        <v>299</v>
      </c>
      <c r="W58" s="111">
        <f>#N/A</f>
        <v>239</v>
      </c>
      <c r="X58" s="155">
        <f>#N/A</f>
        <v>4.983333333333333</v>
      </c>
      <c r="Y58" s="197">
        <f>#N/A</f>
        <v>0.17695403107176322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40</v>
      </c>
      <c r="G59" s="106">
        <v>48.18</v>
      </c>
      <c r="H59" s="102">
        <f>#N/A</f>
        <v>8.18</v>
      </c>
      <c r="I59" s="213">
        <f>#N/A</f>
        <v>1.2045</v>
      </c>
      <c r="J59" s="115">
        <f>#N/A</f>
        <v>-67.32</v>
      </c>
      <c r="K59" s="155">
        <f>#N/A</f>
        <v>0.41714285714285715</v>
      </c>
      <c r="L59" s="115"/>
      <c r="M59" s="115"/>
      <c r="N59" s="115"/>
      <c r="O59" s="115">
        <v>114.3</v>
      </c>
      <c r="P59" s="115">
        <f>#N/A</f>
        <v>1.2000000000000028</v>
      </c>
      <c r="Q59" s="155">
        <f>#N/A</f>
        <v>1.010498687664042</v>
      </c>
      <c r="R59" s="115">
        <v>1.01</v>
      </c>
      <c r="S59" s="115">
        <f>#N/A</f>
        <v>47.17</v>
      </c>
      <c r="T59" s="155">
        <f>#N/A</f>
        <v>47.7029702970297</v>
      </c>
      <c r="U59" s="107">
        <f>F59-квітень!F59</f>
        <v>10</v>
      </c>
      <c r="V59" s="110">
        <f>G59-квітень!G59</f>
        <v>8.96</v>
      </c>
      <c r="W59" s="111">
        <f>#N/A</f>
        <v>-1.0399999999999991</v>
      </c>
      <c r="X59" s="155">
        <f>#N/A</f>
        <v>0.8960000000000001</v>
      </c>
      <c r="Y59" s="197">
        <f>#N/A</f>
        <v>46.69247160936566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498</v>
      </c>
      <c r="G60" s="106">
        <v>473.76</v>
      </c>
      <c r="H60" s="102">
        <f>#N/A</f>
        <v>-24.24000000000001</v>
      </c>
      <c r="I60" s="213">
        <f>#N/A</f>
        <v>0.9513253012048193</v>
      </c>
      <c r="J60" s="115">
        <f>#N/A</f>
        <v>-810.24</v>
      </c>
      <c r="K60" s="155">
        <f>#N/A</f>
        <v>0.3689719626168224</v>
      </c>
      <c r="L60" s="115"/>
      <c r="M60" s="115"/>
      <c r="N60" s="115"/>
      <c r="O60" s="115">
        <v>1205.14</v>
      </c>
      <c r="P60" s="115">
        <f>#N/A</f>
        <v>78.8599999999999</v>
      </c>
      <c r="Q60" s="155">
        <f>#N/A</f>
        <v>1.0654363808354215</v>
      </c>
      <c r="R60" s="115">
        <v>505.13</v>
      </c>
      <c r="S60" s="115">
        <f>#N/A</f>
        <v>-31.370000000000005</v>
      </c>
      <c r="T60" s="155">
        <f>#N/A</f>
        <v>0.9378971749846574</v>
      </c>
      <c r="U60" s="107">
        <f>F60-квітень!F60</f>
        <v>114</v>
      </c>
      <c r="V60" s="110">
        <f>G60-квітень!G60</f>
        <v>97.37</v>
      </c>
      <c r="W60" s="111">
        <f>#N/A</f>
        <v>-16.629999999999995</v>
      </c>
      <c r="X60" s="155">
        <f>#N/A</f>
        <v>0.854122807017544</v>
      </c>
      <c r="Y60" s="197">
        <f>#N/A</f>
        <v>-0.12753920585076406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>#N/A</f>
        <v>0</v>
      </c>
      <c r="I61" s="213" t="e">
        <f>#N/A</f>
        <v>#DIV/0!</v>
      </c>
      <c r="J61" s="115">
        <f>#N/A</f>
        <v>0</v>
      </c>
      <c r="K61" s="155" t="e">
        <f>#N/A</f>
        <v>#DIV/0!</v>
      </c>
      <c r="L61" s="115"/>
      <c r="M61" s="115"/>
      <c r="N61" s="115"/>
      <c r="O61" s="115">
        <v>23.38</v>
      </c>
      <c r="P61" s="115">
        <f>#N/A</f>
        <v>-23.38</v>
      </c>
      <c r="Q61" s="155">
        <f>#N/A</f>
        <v>0</v>
      </c>
      <c r="R61" s="115">
        <v>0</v>
      </c>
      <c r="S61" s="115">
        <f>#N/A</f>
        <v>0</v>
      </c>
      <c r="T61" s="155"/>
      <c r="U61" s="107">
        <f>F61-квітень!F61</f>
        <v>0</v>
      </c>
      <c r="V61" s="110">
        <f>G61-квітень!G61</f>
        <v>0</v>
      </c>
      <c r="W61" s="111">
        <f>#N/A</f>
        <v>0</v>
      </c>
      <c r="X61" s="155" t="e">
        <f>#N/A</f>
        <v>#DIV/0!</v>
      </c>
      <c r="Y61" s="197">
        <f>#N/A</f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f>21260+1000</f>
        <v>22260</v>
      </c>
      <c r="F62" s="102">
        <f>9290+800</f>
        <v>10090</v>
      </c>
      <c r="G62" s="106">
        <v>10554.88</v>
      </c>
      <c r="H62" s="102">
        <f>#N/A</f>
        <v>464.8799999999992</v>
      </c>
      <c r="I62" s="213">
        <f>#N/A</f>
        <v>1.046073339940535</v>
      </c>
      <c r="J62" s="115">
        <f>#N/A</f>
        <v>-11705.12</v>
      </c>
      <c r="K62" s="155">
        <f>#N/A</f>
        <v>0.47416352201257855</v>
      </c>
      <c r="L62" s="115"/>
      <c r="M62" s="115"/>
      <c r="N62" s="115"/>
      <c r="O62" s="115">
        <v>20110.14</v>
      </c>
      <c r="P62" s="115">
        <f>#N/A</f>
        <v>2149.8600000000006</v>
      </c>
      <c r="Q62" s="155">
        <f>#N/A</f>
        <v>1.1069042781402816</v>
      </c>
      <c r="R62" s="115">
        <v>6250.27</v>
      </c>
      <c r="S62" s="115">
        <f>#N/A</f>
        <v>4304.609999999999</v>
      </c>
      <c r="T62" s="155">
        <f>#N/A</f>
        <v>1.6887078478209738</v>
      </c>
      <c r="U62" s="107">
        <f>F62-квітень!F62</f>
        <v>2600</v>
      </c>
      <c r="V62" s="110">
        <f>G62-квітень!G62</f>
        <v>2262.42</v>
      </c>
      <c r="W62" s="111">
        <f>#N/A</f>
        <v>-337.5799999999999</v>
      </c>
      <c r="X62" s="155">
        <f>#N/A</f>
        <v>0.8701615384615385</v>
      </c>
      <c r="Y62" s="197">
        <f>#N/A</f>
        <v>0.5818035696806922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313</v>
      </c>
      <c r="G63" s="106">
        <v>346.44</v>
      </c>
      <c r="H63" s="102">
        <f>#N/A</f>
        <v>33.44</v>
      </c>
      <c r="I63" s="213">
        <f>#N/A</f>
        <v>1.1068370607028755</v>
      </c>
      <c r="J63" s="115">
        <f>#N/A</f>
        <v>-420.56</v>
      </c>
      <c r="K63" s="155">
        <f>#N/A</f>
        <v>0.4516818774445893</v>
      </c>
      <c r="L63" s="115"/>
      <c r="M63" s="115"/>
      <c r="N63" s="115"/>
      <c r="O63" s="115">
        <v>710.04</v>
      </c>
      <c r="P63" s="115">
        <f>#N/A</f>
        <v>56.960000000000036</v>
      </c>
      <c r="Q63" s="155">
        <f>#N/A</f>
        <v>1.0802208326291478</v>
      </c>
      <c r="R63" s="115">
        <v>216.35</v>
      </c>
      <c r="S63" s="115">
        <f>#N/A</f>
        <v>130.09</v>
      </c>
      <c r="T63" s="155">
        <f>#N/A</f>
        <v>1.6012941992142362</v>
      </c>
      <c r="U63" s="107">
        <f>F63-квітень!F63</f>
        <v>64</v>
      </c>
      <c r="V63" s="110">
        <f>G63-квітень!G63</f>
        <v>73.58999999999997</v>
      </c>
      <c r="W63" s="111">
        <f>#N/A</f>
        <v>9.589999999999975</v>
      </c>
      <c r="X63" s="155">
        <f>#N/A</f>
        <v>1.1498437499999996</v>
      </c>
      <c r="Y63" s="197">
        <f>#N/A</f>
        <v>0.5210733665850884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16</v>
      </c>
      <c r="G64" s="106">
        <v>14.82</v>
      </c>
      <c r="H64" s="102">
        <f>#N/A</f>
        <v>-1.1799999999999997</v>
      </c>
      <c r="I64" s="213">
        <f>#N/A</f>
        <v>0.92625</v>
      </c>
      <c r="J64" s="115">
        <f>#N/A</f>
        <v>-29.18</v>
      </c>
      <c r="K64" s="155">
        <f>#N/A</f>
        <v>0.33681818181818185</v>
      </c>
      <c r="L64" s="115"/>
      <c r="M64" s="115"/>
      <c r="N64" s="115"/>
      <c r="O64" s="115">
        <v>41.44</v>
      </c>
      <c r="P64" s="115">
        <f>#N/A</f>
        <v>2.5600000000000023</v>
      </c>
      <c r="Q64" s="155">
        <f>#N/A</f>
        <v>1.0617760617760619</v>
      </c>
      <c r="R64" s="115">
        <v>12.32</v>
      </c>
      <c r="S64" s="115">
        <f>#N/A</f>
        <v>2.5</v>
      </c>
      <c r="T64" s="155">
        <f>#N/A</f>
        <v>1.202922077922078</v>
      </c>
      <c r="U64" s="107">
        <f>F64-квітень!F64</f>
        <v>4</v>
      </c>
      <c r="V64" s="110">
        <f>G64-квітень!G64</f>
        <v>1.7599999999999998</v>
      </c>
      <c r="W64" s="111">
        <f>#N/A</f>
        <v>-2.24</v>
      </c>
      <c r="X64" s="155">
        <f>#N/A</f>
        <v>0.43999999999999995</v>
      </c>
      <c r="Y64" s="197">
        <f>#N/A</f>
        <v>0.14114601614601607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2500</v>
      </c>
      <c r="G65" s="106">
        <v>2839.39</v>
      </c>
      <c r="H65" s="102">
        <f>#N/A</f>
        <v>339.3899999999999</v>
      </c>
      <c r="I65" s="213">
        <f>#N/A</f>
        <v>1.135756</v>
      </c>
      <c r="J65" s="115">
        <f>#N/A</f>
        <v>-3160.61</v>
      </c>
      <c r="K65" s="155">
        <f>#N/A</f>
        <v>0.47323166666666666</v>
      </c>
      <c r="L65" s="115"/>
      <c r="M65" s="115"/>
      <c r="N65" s="115"/>
      <c r="O65" s="115">
        <v>6545.96</v>
      </c>
      <c r="P65" s="115">
        <f>#N/A</f>
        <v>-545.96</v>
      </c>
      <c r="Q65" s="155">
        <f>#N/A</f>
        <v>0.9165958850955398</v>
      </c>
      <c r="R65" s="115">
        <v>2721.32</v>
      </c>
      <c r="S65" s="115">
        <f>#N/A</f>
        <v>118.06999999999971</v>
      </c>
      <c r="T65" s="155">
        <f>#N/A</f>
        <v>1.0433870327635117</v>
      </c>
      <c r="U65" s="107">
        <f>F65-квітень!F65</f>
        <v>435.8600000000001</v>
      </c>
      <c r="V65" s="110">
        <f>G65-квітень!G65</f>
        <v>559.56</v>
      </c>
      <c r="W65" s="111">
        <f>#N/A</f>
        <v>123.69999999999982</v>
      </c>
      <c r="X65" s="155">
        <f>#N/A</f>
        <v>1.2838067269306652</v>
      </c>
      <c r="Y65" s="197">
        <f>#N/A</f>
        <v>0.12679114766797195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344.14</v>
      </c>
      <c r="G66" s="106">
        <v>296.93</v>
      </c>
      <c r="H66" s="102">
        <f>#N/A</f>
        <v>-47.20999999999998</v>
      </c>
      <c r="I66" s="213">
        <f>#N/A</f>
        <v>0.8628174580112745</v>
      </c>
      <c r="J66" s="115">
        <f>#N/A</f>
        <v>-569.0699999999999</v>
      </c>
      <c r="K66" s="155">
        <f>#N/A</f>
        <v>0.3428752886836028</v>
      </c>
      <c r="L66" s="115"/>
      <c r="M66" s="115"/>
      <c r="N66" s="115"/>
      <c r="O66" s="115">
        <v>896.22</v>
      </c>
      <c r="P66" s="115">
        <f>#N/A</f>
        <v>-30.220000000000027</v>
      </c>
      <c r="Q66" s="155">
        <f>#N/A</f>
        <v>0.9662806007453527</v>
      </c>
      <c r="R66" s="115">
        <v>333.52</v>
      </c>
      <c r="S66" s="115">
        <f>#N/A</f>
        <v>-36.589999999999975</v>
      </c>
      <c r="T66" s="155">
        <f>#N/A</f>
        <v>0.8902914367953947</v>
      </c>
      <c r="U66" s="107">
        <f>F66-квітень!F66</f>
        <v>74.5</v>
      </c>
      <c r="V66" s="110">
        <f>G66-квітень!G66</f>
        <v>64.68</v>
      </c>
      <c r="W66" s="111">
        <f>#N/A</f>
        <v>-9.819999999999993</v>
      </c>
      <c r="X66" s="155">
        <f>#N/A</f>
        <v>0.8681879194630874</v>
      </c>
      <c r="Y66" s="197">
        <f>#N/A</f>
        <v>-0.07598916394995803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286.42</v>
      </c>
      <c r="G67" s="94">
        <v>235.99</v>
      </c>
      <c r="H67" s="71">
        <f>#N/A</f>
        <v>-50.43000000000001</v>
      </c>
      <c r="I67" s="209">
        <f>#N/A</f>
        <v>0.8239298931638852</v>
      </c>
      <c r="J67" s="72">
        <f>#N/A</f>
        <v>-492.21000000000004</v>
      </c>
      <c r="K67" s="75">
        <f>#N/A</f>
        <v>0.32407305685251303</v>
      </c>
      <c r="L67" s="72"/>
      <c r="M67" s="72"/>
      <c r="N67" s="72"/>
      <c r="O67" s="72">
        <v>760.62</v>
      </c>
      <c r="P67" s="72">
        <f>#N/A</f>
        <v>-32.41999999999996</v>
      </c>
      <c r="Q67" s="75">
        <f>#N/A</f>
        <v>0.957376876758434</v>
      </c>
      <c r="R67" s="72">
        <v>290.38</v>
      </c>
      <c r="S67" s="203">
        <f>#N/A</f>
        <v>-54.389999999999986</v>
      </c>
      <c r="T67" s="204">
        <f>#N/A</f>
        <v>0.8126937116881329</v>
      </c>
      <c r="U67" s="73">
        <f>F67-квітень!F67</f>
        <v>63.00000000000003</v>
      </c>
      <c r="V67" s="98">
        <f>G67-квітень!G67</f>
        <v>51.48000000000002</v>
      </c>
      <c r="W67" s="74">
        <f>#N/A</f>
        <v>-11.52000000000001</v>
      </c>
      <c r="X67" s="75">
        <f>#N/A</f>
        <v>0.8171428571428571</v>
      </c>
      <c r="Y67" s="197">
        <f>#N/A</f>
        <v>-0.1446831650703011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0.3</v>
      </c>
      <c r="G68" s="94">
        <v>0.09</v>
      </c>
      <c r="H68" s="71">
        <f>#N/A</f>
        <v>-0.21</v>
      </c>
      <c r="I68" s="209">
        <f>#N/A</f>
        <v>0.3</v>
      </c>
      <c r="J68" s="72">
        <f>#N/A</f>
        <v>-0.91</v>
      </c>
      <c r="K68" s="75">
        <f>#N/A</f>
        <v>0.09</v>
      </c>
      <c r="L68" s="72"/>
      <c r="M68" s="72"/>
      <c r="N68" s="72"/>
      <c r="O68" s="72">
        <v>0.18</v>
      </c>
      <c r="P68" s="72">
        <f>#N/A</f>
        <v>0.8200000000000001</v>
      </c>
      <c r="Q68" s="75">
        <f>#N/A</f>
        <v>5.555555555555555</v>
      </c>
      <c r="R68" s="72">
        <v>0.15</v>
      </c>
      <c r="S68" s="203">
        <f>#N/A</f>
        <v>-0.06</v>
      </c>
      <c r="T68" s="204">
        <f>#N/A</f>
        <v>0.6</v>
      </c>
      <c r="U68" s="73">
        <f>F68-квітень!F68</f>
        <v>0.09999999999999998</v>
      </c>
      <c r="V68" s="98">
        <f>G68-квітень!G68</f>
        <v>0.03</v>
      </c>
      <c r="W68" s="74">
        <f>#N/A</f>
        <v>-0.06999999999999998</v>
      </c>
      <c r="X68" s="75"/>
      <c r="Y68" s="197">
        <f>#N/A</f>
        <v>-4.955555555555556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>#N/A</f>
        <v>0</v>
      </c>
      <c r="I69" s="209" t="e">
        <f>#N/A</f>
        <v>#DIV/0!</v>
      </c>
      <c r="J69" s="72">
        <f>#N/A</f>
        <v>0</v>
      </c>
      <c r="K69" s="75" t="e">
        <f>#N/A</f>
        <v>#DIV/0!</v>
      </c>
      <c r="L69" s="72"/>
      <c r="M69" s="72"/>
      <c r="N69" s="72"/>
      <c r="O69" s="72">
        <v>0</v>
      </c>
      <c r="P69" s="72">
        <f>#N/A</f>
        <v>0</v>
      </c>
      <c r="Q69" s="75" t="e">
        <f>#N/A</f>
        <v>#DIV/0!</v>
      </c>
      <c r="R69" s="72">
        <f>O69</f>
        <v>0</v>
      </c>
      <c r="S69" s="203">
        <f>#N/A</f>
        <v>0</v>
      </c>
      <c r="T69" s="204" t="e">
        <f>#N/A</f>
        <v>#DIV/0!</v>
      </c>
      <c r="U69" s="73">
        <f>F69-квітень!F69</f>
        <v>0</v>
      </c>
      <c r="V69" s="98">
        <f>G69-квітень!G69</f>
        <v>0</v>
      </c>
      <c r="W69" s="74">
        <f>#N/A</f>
        <v>0</v>
      </c>
      <c r="X69" s="75"/>
      <c r="Y69" s="197" t="e">
        <f>#N/A</f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57.42</v>
      </c>
      <c r="G70" s="94">
        <v>60.85</v>
      </c>
      <c r="H70" s="71">
        <f>#N/A</f>
        <v>3.4299999999999997</v>
      </c>
      <c r="I70" s="209">
        <f>#N/A</f>
        <v>1.0597352838732148</v>
      </c>
      <c r="J70" s="72">
        <f>#N/A</f>
        <v>-75.95000000000002</v>
      </c>
      <c r="K70" s="75">
        <f>#N/A</f>
        <v>0.4448099415204678</v>
      </c>
      <c r="L70" s="72"/>
      <c r="M70" s="72"/>
      <c r="N70" s="72"/>
      <c r="O70" s="72">
        <v>135.42</v>
      </c>
      <c r="P70" s="72">
        <f>#N/A</f>
        <v>1.3800000000000239</v>
      </c>
      <c r="Q70" s="75">
        <f>#N/A</f>
        <v>1.01019051838724</v>
      </c>
      <c r="R70" s="72">
        <v>43</v>
      </c>
      <c r="S70" s="203">
        <f>#N/A</f>
        <v>17.85</v>
      </c>
      <c r="T70" s="204">
        <f>#N/A</f>
        <v>1.4151162790697676</v>
      </c>
      <c r="U70" s="73">
        <f>F70-квітень!F70</f>
        <v>11.399999999999999</v>
      </c>
      <c r="V70" s="98">
        <f>G70-квітень!G70</f>
        <v>13.160000000000004</v>
      </c>
      <c r="W70" s="74">
        <f>#N/A</f>
        <v>1.7600000000000051</v>
      </c>
      <c r="X70" s="75">
        <f>#N/A</f>
        <v>1.1543859649122812</v>
      </c>
      <c r="Y70" s="197">
        <f>#N/A</f>
        <v>0.4049257606825276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</v>
      </c>
      <c r="H71" s="102">
        <f>#N/A</f>
        <v>-1.5</v>
      </c>
      <c r="I71" s="213">
        <f>#N/A</f>
        <v>0</v>
      </c>
      <c r="J71" s="115">
        <f>#N/A</f>
        <v>-3</v>
      </c>
      <c r="K71" s="155">
        <f>#N/A</f>
        <v>0</v>
      </c>
      <c r="L71" s="115"/>
      <c r="M71" s="115"/>
      <c r="N71" s="115"/>
      <c r="O71" s="115">
        <v>2.04</v>
      </c>
      <c r="P71" s="115">
        <f>#N/A</f>
        <v>0.96</v>
      </c>
      <c r="Q71" s="155">
        <f>#N/A</f>
        <v>1.4705882352941175</v>
      </c>
      <c r="R71" s="115">
        <v>2.04</v>
      </c>
      <c r="S71" s="115">
        <f>#N/A</f>
        <v>-2.04</v>
      </c>
      <c r="T71" s="155">
        <f>#N/A</f>
        <v>0</v>
      </c>
      <c r="U71" s="107">
        <f>F71-квітень!F71</f>
        <v>0</v>
      </c>
      <c r="V71" s="110">
        <f>G71-квітень!G71</f>
        <v>0</v>
      </c>
      <c r="W71" s="111">
        <f>#N/A</f>
        <v>0</v>
      </c>
      <c r="X71" s="155"/>
      <c r="Y71" s="197">
        <f>#N/A</f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3288.65</v>
      </c>
      <c r="G72" s="106">
        <v>2800.45</v>
      </c>
      <c r="H72" s="102">
        <f>#N/A</f>
        <v>-488.2000000000003</v>
      </c>
      <c r="I72" s="213">
        <f>#N/A</f>
        <v>0.851550028127043</v>
      </c>
      <c r="J72" s="115">
        <f>#N/A</f>
        <v>-5369.55</v>
      </c>
      <c r="K72" s="155">
        <f>#N/A</f>
        <v>0.3427723378212974</v>
      </c>
      <c r="L72" s="115"/>
      <c r="M72" s="115"/>
      <c r="N72" s="115"/>
      <c r="O72" s="115">
        <v>8086.92</v>
      </c>
      <c r="P72" s="115">
        <f>#N/A</f>
        <v>83.07999999999993</v>
      </c>
      <c r="Q72" s="155">
        <f>#N/A</f>
        <v>1.0102733797292418</v>
      </c>
      <c r="R72" s="115">
        <v>4037.14</v>
      </c>
      <c r="S72" s="115">
        <f>#N/A</f>
        <v>-1236.69</v>
      </c>
      <c r="T72" s="155">
        <f>#N/A</f>
        <v>0.6936717577294818</v>
      </c>
      <c r="U72" s="107">
        <f>F72-квітень!F72</f>
        <v>680</v>
      </c>
      <c r="V72" s="110">
        <f>G72-квітень!G72</f>
        <v>766.4199999999998</v>
      </c>
      <c r="W72" s="111">
        <f>#N/A</f>
        <v>86.41999999999985</v>
      </c>
      <c r="X72" s="155">
        <f>#N/A</f>
        <v>1.1270882352941174</v>
      </c>
      <c r="Y72" s="197">
        <f>#N/A</f>
        <v>-0.31660162199976005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>#N/A</f>
        <v>0</v>
      </c>
      <c r="I73" s="213" t="e">
        <f>G73/F73*100</f>
        <v>#DIV/0!</v>
      </c>
      <c r="J73" s="115">
        <f>#N/A</f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>#N/A</f>
        <v>0</v>
      </c>
      <c r="T73" s="155" t="e">
        <f>#N/A</f>
        <v>#DIV/0!</v>
      </c>
      <c r="U73" s="107">
        <f>F73-квітень!F73</f>
        <v>0</v>
      </c>
      <c r="V73" s="110">
        <f>G73-квітень!G73</f>
        <v>0</v>
      </c>
      <c r="W73" s="111">
        <f>#N/A</f>
        <v>0</v>
      </c>
      <c r="X73" s="155" t="e">
        <f>#N/A</f>
        <v>#DIV/0!</v>
      </c>
      <c r="Y73" s="197" t="e">
        <f>#N/A</f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>#N/A</f>
        <v>0</v>
      </c>
      <c r="U74" s="107">
        <f>F74-квітень!F74</f>
        <v>0</v>
      </c>
      <c r="V74" s="110">
        <f>G74-квітень!G74</f>
        <v>0</v>
      </c>
      <c r="W74" s="116">
        <f>#N/A</f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>#N/A</f>
        <v>0</v>
      </c>
      <c r="I75" s="213" t="e">
        <f>G75/F75*100</f>
        <v>#DIV/0!</v>
      </c>
      <c r="J75" s="115">
        <f>#N/A</f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>#N/A</f>
        <v>0</v>
      </c>
      <c r="T75" s="155" t="e">
        <f>#N/A</f>
        <v>#DIV/0!</v>
      </c>
      <c r="U75" s="107">
        <f>F75-квітень!F75</f>
        <v>0</v>
      </c>
      <c r="V75" s="110">
        <f>G75-квітень!G75</f>
        <v>0</v>
      </c>
      <c r="W75" s="111">
        <f>#N/A</f>
        <v>0</v>
      </c>
      <c r="X75" s="155" t="e">
        <f>#N/A</f>
        <v>#DIV/0!</v>
      </c>
      <c r="Y75" s="197" t="e">
        <f>#N/A</f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20</v>
      </c>
      <c r="G76" s="106">
        <v>0</v>
      </c>
      <c r="H76" s="102">
        <f>#N/A</f>
        <v>-20</v>
      </c>
      <c r="I76" s="213">
        <f>G76/F76</f>
        <v>0</v>
      </c>
      <c r="J76" s="115">
        <f>#N/A</f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54.64</v>
      </c>
      <c r="S76" s="115">
        <f>#N/A</f>
        <v>-54.64</v>
      </c>
      <c r="T76" s="155">
        <f>#N/A</f>
        <v>0</v>
      </c>
      <c r="U76" s="107">
        <f>F76-квітень!F76</f>
        <v>0</v>
      </c>
      <c r="V76" s="110">
        <f>G76-квітень!G76</f>
        <v>0</v>
      </c>
      <c r="W76" s="111">
        <f>#N/A</f>
        <v>0</v>
      </c>
      <c r="X76" s="155" t="e">
        <f>#N/A</f>
        <v>#DIV/0!</v>
      </c>
      <c r="Y76" s="197">
        <f>#N/A</f>
        <v>-1.2266141510761006</v>
      </c>
    </row>
    <row r="77" spans="1:25" s="6" customFormat="1" ht="44.25" customHeight="1">
      <c r="A77" s="8"/>
      <c r="B77" s="89" t="s">
        <v>238</v>
      </c>
      <c r="C77" s="34">
        <v>24062200</v>
      </c>
      <c r="D77" s="233"/>
      <c r="E77" s="102"/>
      <c r="F77" s="102"/>
      <c r="G77" s="106">
        <v>0.09</v>
      </c>
      <c r="H77" s="102">
        <f>#N/A</f>
        <v>0.09</v>
      </c>
      <c r="I77" s="213"/>
      <c r="J77" s="115">
        <f>#N/A</f>
        <v>0.09</v>
      </c>
      <c r="K77" s="155"/>
      <c r="L77" s="115"/>
      <c r="M77" s="115"/>
      <c r="N77" s="115"/>
      <c r="O77" s="115"/>
      <c r="P77" s="115"/>
      <c r="Q77" s="155"/>
      <c r="R77" s="115"/>
      <c r="S77" s="115"/>
      <c r="T77" s="155"/>
      <c r="U77" s="107"/>
      <c r="V77" s="110">
        <f>G77</f>
        <v>0.09</v>
      </c>
      <c r="W77" s="111"/>
      <c r="X77" s="155"/>
      <c r="Y77" s="197"/>
    </row>
    <row r="78" spans="1:25" s="6" customFormat="1" ht="27.75" customHeight="1">
      <c r="A78" s="8"/>
      <c r="B78" s="89" t="s">
        <v>39</v>
      </c>
      <c r="C78" s="34">
        <v>31010200</v>
      </c>
      <c r="D78" s="233">
        <v>35</v>
      </c>
      <c r="E78" s="102">
        <v>35</v>
      </c>
      <c r="F78" s="102">
        <v>15.37</v>
      </c>
      <c r="G78" s="106">
        <v>5.62</v>
      </c>
      <c r="H78" s="102">
        <f>#N/A</f>
        <v>-9.75</v>
      </c>
      <c r="I78" s="213">
        <f>G78/F78</f>
        <v>0.36564736499674694</v>
      </c>
      <c r="J78" s="115">
        <f>#N/A</f>
        <v>-29.38</v>
      </c>
      <c r="K78" s="155">
        <f>G78/E78</f>
        <v>0.1605714285714286</v>
      </c>
      <c r="L78" s="115"/>
      <c r="M78" s="115"/>
      <c r="N78" s="115"/>
      <c r="O78" s="115">
        <v>34.22</v>
      </c>
      <c r="P78" s="115">
        <f>E78-O78</f>
        <v>0.7800000000000011</v>
      </c>
      <c r="Q78" s="155">
        <f>E78/O78</f>
        <v>1.0227936879018118</v>
      </c>
      <c r="R78" s="115">
        <v>22.35</v>
      </c>
      <c r="S78" s="115">
        <f>#N/A</f>
        <v>-16.73</v>
      </c>
      <c r="T78" s="155">
        <f>#N/A</f>
        <v>0.25145413870246086</v>
      </c>
      <c r="U78" s="107">
        <f>F78-квітень!F77</f>
        <v>2.8999999999999986</v>
      </c>
      <c r="V78" s="110">
        <f>G78-квітень!G77</f>
        <v>0.8799999999999999</v>
      </c>
      <c r="W78" s="111">
        <f>#N/A</f>
        <v>-2.0199999999999987</v>
      </c>
      <c r="X78" s="155">
        <f>#N/A</f>
        <v>0.3034482758620691</v>
      </c>
      <c r="Y78" s="197">
        <f>#N/A</f>
        <v>-0.7713395491993509</v>
      </c>
    </row>
    <row r="79" spans="1:25" s="6" customFormat="1" ht="30.75">
      <c r="A79" s="8"/>
      <c r="B79" s="89" t="s">
        <v>49</v>
      </c>
      <c r="C79" s="34">
        <v>31020000</v>
      </c>
      <c r="D79" s="229"/>
      <c r="E79" s="102">
        <v>0</v>
      </c>
      <c r="F79" s="102">
        <f>E79</f>
        <v>0</v>
      </c>
      <c r="G79" s="106">
        <v>0.67</v>
      </c>
      <c r="H79" s="102">
        <f>#N/A</f>
        <v>0.67</v>
      </c>
      <c r="I79" s="213" t="e">
        <f>G79/F79</f>
        <v>#DIV/0!</v>
      </c>
      <c r="J79" s="115">
        <f>#N/A</f>
        <v>0.67</v>
      </c>
      <c r="K79" s="155"/>
      <c r="L79" s="115"/>
      <c r="M79" s="115"/>
      <c r="N79" s="115"/>
      <c r="O79" s="115">
        <v>-4.86</v>
      </c>
      <c r="P79" s="115">
        <f>E79-O79</f>
        <v>4.86</v>
      </c>
      <c r="Q79" s="155">
        <f>E79/O79</f>
        <v>0</v>
      </c>
      <c r="R79" s="115">
        <v>-5.25</v>
      </c>
      <c r="S79" s="115">
        <f>#N/A</f>
        <v>5.92</v>
      </c>
      <c r="T79" s="155">
        <f>#N/A</f>
        <v>-0.12761904761904763</v>
      </c>
      <c r="U79" s="107">
        <f>F79-квітень!F78</f>
        <v>0</v>
      </c>
      <c r="V79" s="110">
        <f>G79-квітень!G78</f>
        <v>0.17000000000000004</v>
      </c>
      <c r="W79" s="111">
        <f>#N/A</f>
        <v>0.17000000000000004</v>
      </c>
      <c r="X79" s="155"/>
      <c r="Y79" s="197">
        <f>#N/A</f>
        <v>-0.12761904761904763</v>
      </c>
    </row>
    <row r="80" spans="1:25" s="6" customFormat="1" ht="17.25">
      <c r="A80" s="9"/>
      <c r="B80" s="13" t="s">
        <v>104</v>
      </c>
      <c r="C80" s="50"/>
      <c r="D80" s="14">
        <f>D8+D53+D78+D79</f>
        <v>1627917.7</v>
      </c>
      <c r="E80" s="103">
        <f>E8+E53+E78+E79</f>
        <v>1653534.7999999998</v>
      </c>
      <c r="F80" s="103">
        <f>F8+F53+F78+F79</f>
        <v>660575.12</v>
      </c>
      <c r="G80" s="103">
        <f>G8+G53+G78+G79</f>
        <v>673381.37</v>
      </c>
      <c r="H80" s="103">
        <f>G80-F80</f>
        <v>12806.25</v>
      </c>
      <c r="I80" s="210">
        <f>G80/F80</f>
        <v>1.0193865157985362</v>
      </c>
      <c r="J80" s="104">
        <f>G80-E80</f>
        <v>-980153.4299999998</v>
      </c>
      <c r="K80" s="156">
        <f>G80/E80</f>
        <v>0.4072374950923319</v>
      </c>
      <c r="L80" s="104"/>
      <c r="M80" s="104"/>
      <c r="N80" s="104"/>
      <c r="O80" s="104">
        <v>1398996.46</v>
      </c>
      <c r="P80" s="104">
        <f>E80-O80</f>
        <v>254538.33999999985</v>
      </c>
      <c r="Q80" s="156">
        <f>E80/O80</f>
        <v>1.1819435197141241</v>
      </c>
      <c r="R80" s="103">
        <v>532468.19</v>
      </c>
      <c r="S80" s="104">
        <f>G80-R80</f>
        <v>140913.18000000005</v>
      </c>
      <c r="T80" s="156">
        <f>G80/R80</f>
        <v>1.2646414990536807</v>
      </c>
      <c r="U80" s="103">
        <f>U8+U53+U78+U79</f>
        <v>171348.75999999992</v>
      </c>
      <c r="V80" s="103">
        <f>V8+V53+V78+V79</f>
        <v>158537.95999999996</v>
      </c>
      <c r="W80" s="135">
        <f>V80-U80</f>
        <v>-12810.79999999996</v>
      </c>
      <c r="X80" s="156">
        <f>V80/U80</f>
        <v>0.9252355254861491</v>
      </c>
      <c r="Y80" s="197">
        <f>#N/A</f>
        <v>0.08269797933955658</v>
      </c>
    </row>
    <row r="81" spans="1:25" s="39" customFormat="1" ht="17.25" hidden="1">
      <c r="A81" s="36"/>
      <c r="B81" s="43"/>
      <c r="C81" s="51"/>
      <c r="D81" s="239"/>
      <c r="E81" s="37"/>
      <c r="F81" s="37"/>
      <c r="G81" s="63"/>
      <c r="H81" s="61"/>
      <c r="I81" s="214"/>
      <c r="J81" s="42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38"/>
      <c r="V81" s="37"/>
      <c r="W81" s="62"/>
      <c r="X81" s="68"/>
      <c r="Y81" s="197">
        <f>#N/A</f>
        <v>0</v>
      </c>
    </row>
    <row r="82" spans="1:25" s="39" customFormat="1" ht="17.25" hidden="1">
      <c r="A82" s="36"/>
      <c r="B82" s="44"/>
      <c r="C82" s="51"/>
      <c r="D82" s="239"/>
      <c r="E82" s="45"/>
      <c r="F82" s="37"/>
      <c r="G82" s="63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37"/>
      <c r="W82" s="47"/>
      <c r="X82" s="68"/>
      <c r="Y82" s="197">
        <f>#N/A</f>
        <v>0</v>
      </c>
    </row>
    <row r="83" spans="1:25" s="39" customFormat="1" ht="17.25" hidden="1">
      <c r="A83" s="36"/>
      <c r="B83" s="44"/>
      <c r="C83" s="51"/>
      <c r="D83" s="239"/>
      <c r="E83" s="45"/>
      <c r="F83" s="27"/>
      <c r="G83" s="76"/>
      <c r="H83" s="32"/>
      <c r="I83" s="214"/>
      <c r="J83" s="46"/>
      <c r="K83" s="68"/>
      <c r="L83" s="28"/>
      <c r="M83" s="28"/>
      <c r="N83" s="28"/>
      <c r="O83" s="28"/>
      <c r="P83" s="28"/>
      <c r="Q83" s="68"/>
      <c r="R83" s="28"/>
      <c r="S83" s="28"/>
      <c r="T83" s="28"/>
      <c r="U83" s="23"/>
      <c r="V83" s="45"/>
      <c r="W83" s="62"/>
      <c r="X83" s="68"/>
      <c r="Y83" s="197">
        <f>#N/A</f>
        <v>0</v>
      </c>
    </row>
    <row r="84" spans="2:25" ht="15">
      <c r="B84" s="19" t="s">
        <v>91</v>
      </c>
      <c r="C84" s="52"/>
      <c r="D84" s="240"/>
      <c r="E84" s="21"/>
      <c r="F84" s="21"/>
      <c r="G84" s="96"/>
      <c r="H84" s="27"/>
      <c r="I84" s="215"/>
      <c r="J84" s="31"/>
      <c r="K84" s="69"/>
      <c r="L84" s="31"/>
      <c r="M84" s="31"/>
      <c r="N84" s="31"/>
      <c r="O84" s="31"/>
      <c r="P84" s="31"/>
      <c r="Q84" s="69"/>
      <c r="R84" s="31"/>
      <c r="S84" s="31"/>
      <c r="T84" s="31"/>
      <c r="U84" s="24"/>
      <c r="V84" s="100"/>
      <c r="W84" s="29"/>
      <c r="X84" s="69"/>
      <c r="Y84" s="197">
        <f>#N/A</f>
        <v>0</v>
      </c>
    </row>
    <row r="85" spans="2:25" ht="25.5" customHeight="1" hidden="1">
      <c r="B85" s="165" t="s">
        <v>87</v>
      </c>
      <c r="C85" s="90">
        <v>12020000</v>
      </c>
      <c r="D85" s="241"/>
      <c r="E85" s="125">
        <v>0</v>
      </c>
      <c r="F85" s="125"/>
      <c r="G85" s="126">
        <v>0.01</v>
      </c>
      <c r="H85" s="112"/>
      <c r="I85" s="213"/>
      <c r="J85" s="117"/>
      <c r="K85" s="147"/>
      <c r="L85" s="117"/>
      <c r="M85" s="117"/>
      <c r="N85" s="117"/>
      <c r="O85" s="117"/>
      <c r="P85" s="117"/>
      <c r="Q85" s="147"/>
      <c r="R85" s="117">
        <f>O85</f>
        <v>0</v>
      </c>
      <c r="S85" s="117">
        <f>G85-R85</f>
        <v>0.01</v>
      </c>
      <c r="T85" s="147" t="e">
        <f>G85/R85</f>
        <v>#DIV/0!</v>
      </c>
      <c r="U85" s="112">
        <f>F85-квітень!F84</f>
        <v>0</v>
      </c>
      <c r="V85" s="110">
        <f>G85-квітень!G84</f>
        <v>0</v>
      </c>
      <c r="W85" s="117"/>
      <c r="X85" s="147"/>
      <c r="Y85" s="197" t="e">
        <f>#N/A</f>
        <v>#DIV/0!</v>
      </c>
    </row>
    <row r="86" spans="2:25" ht="31.5" hidden="1">
      <c r="B86" s="20" t="s">
        <v>52</v>
      </c>
      <c r="C86" s="58">
        <v>18041500</v>
      </c>
      <c r="D86" s="242"/>
      <c r="E86" s="125">
        <v>0</v>
      </c>
      <c r="F86" s="125">
        <v>0</v>
      </c>
      <c r="G86" s="126">
        <v>0</v>
      </c>
      <c r="H86" s="112">
        <f>G86-F86</f>
        <v>0</v>
      </c>
      <c r="I86" s="213"/>
      <c r="J86" s="117">
        <f>G86-E86</f>
        <v>0</v>
      </c>
      <c r="K86" s="147"/>
      <c r="L86" s="117"/>
      <c r="M86" s="117"/>
      <c r="N86" s="117"/>
      <c r="O86" s="117">
        <v>-2.64</v>
      </c>
      <c r="P86" s="117">
        <f>E86-O86</f>
        <v>2.64</v>
      </c>
      <c r="Q86" s="147">
        <f>E86/O86</f>
        <v>0</v>
      </c>
      <c r="R86" s="117">
        <v>0</v>
      </c>
      <c r="S86" s="117">
        <f>G86-R86</f>
        <v>0</v>
      </c>
      <c r="T86" s="147" t="e">
        <f>G86/R86</f>
        <v>#DIV/0!</v>
      </c>
      <c r="U86" s="112">
        <f>F86-квітень!F85</f>
        <v>0</v>
      </c>
      <c r="V86" s="110">
        <f>G86-квітень!G85</f>
        <v>0</v>
      </c>
      <c r="W86" s="117">
        <f>V86-U86</f>
        <v>0</v>
      </c>
      <c r="X86" s="147"/>
      <c r="Y86" s="197" t="e">
        <f>#N/A</f>
        <v>#DIV/0!</v>
      </c>
    </row>
    <row r="87" spans="2:25" ht="17.25" hidden="1">
      <c r="B87" s="22" t="s">
        <v>40</v>
      </c>
      <c r="C87" s="59"/>
      <c r="D87" s="127">
        <f>D86</f>
        <v>0</v>
      </c>
      <c r="E87" s="127">
        <f>E86</f>
        <v>0</v>
      </c>
      <c r="F87" s="127">
        <f>F86</f>
        <v>0</v>
      </c>
      <c r="G87" s="128">
        <f>SUM(G85:G86)</f>
        <v>0.01</v>
      </c>
      <c r="H87" s="129">
        <f>G87-F87</f>
        <v>0.01</v>
      </c>
      <c r="I87" s="216"/>
      <c r="J87" s="131">
        <f>G87-E87</f>
        <v>0.01</v>
      </c>
      <c r="K87" s="151"/>
      <c r="L87" s="131"/>
      <c r="M87" s="131"/>
      <c r="N87" s="131"/>
      <c r="O87" s="131">
        <v>-2.64</v>
      </c>
      <c r="P87" s="131">
        <f>E87-O87</f>
        <v>2.64</v>
      </c>
      <c r="Q87" s="151">
        <f>E87/O87</f>
        <v>0</v>
      </c>
      <c r="R87" s="131">
        <v>0</v>
      </c>
      <c r="S87" s="131">
        <f>#N/A</f>
        <v>0.01</v>
      </c>
      <c r="T87" s="151" t="e">
        <f>#N/A</f>
        <v>#DIV/0!</v>
      </c>
      <c r="U87" s="129">
        <f>F87-квітень!F86</f>
        <v>0</v>
      </c>
      <c r="V87" s="174">
        <f>G87-квітень!G86</f>
        <v>0</v>
      </c>
      <c r="W87" s="131">
        <f>V87-U87</f>
        <v>0</v>
      </c>
      <c r="X87" s="151"/>
      <c r="Y87" s="197" t="e">
        <f>#N/A</f>
        <v>#DIV/0!</v>
      </c>
    </row>
    <row r="88" spans="2:25" ht="45.75">
      <c r="B88" s="22" t="s">
        <v>32</v>
      </c>
      <c r="C88" s="90">
        <v>21110000</v>
      </c>
      <c r="D88" s="241">
        <v>0</v>
      </c>
      <c r="E88" s="127">
        <v>0</v>
      </c>
      <c r="F88" s="127">
        <v>0</v>
      </c>
      <c r="G88" s="128">
        <v>9.43</v>
      </c>
      <c r="H88" s="129">
        <f>#N/A</f>
        <v>9.43</v>
      </c>
      <c r="I88" s="216"/>
      <c r="J88" s="131">
        <f>G88-E88</f>
        <v>9.43</v>
      </c>
      <c r="K88" s="151"/>
      <c r="L88" s="131"/>
      <c r="M88" s="131"/>
      <c r="N88" s="131"/>
      <c r="O88" s="131">
        <v>35.57</v>
      </c>
      <c r="P88" s="131">
        <f>#N/A</f>
        <v>-35.57</v>
      </c>
      <c r="Q88" s="151">
        <f>#N/A</f>
        <v>0</v>
      </c>
      <c r="R88" s="131">
        <v>35.57</v>
      </c>
      <c r="S88" s="131">
        <f>#N/A</f>
        <v>-26.14</v>
      </c>
      <c r="T88" s="147"/>
      <c r="U88" s="129">
        <f>F88-квітень!F87</f>
        <v>0</v>
      </c>
      <c r="V88" s="174">
        <f>G88-квітень!G87</f>
        <v>0</v>
      </c>
      <c r="W88" s="131">
        <f>#N/A</f>
        <v>0</v>
      </c>
      <c r="X88" s="151"/>
      <c r="Y88" s="197"/>
    </row>
    <row r="89" spans="2:25" ht="31.5">
      <c r="B89" s="20" t="s">
        <v>28</v>
      </c>
      <c r="C89" s="58">
        <v>31030000</v>
      </c>
      <c r="D89" s="256">
        <v>5000</v>
      </c>
      <c r="E89" s="125">
        <f>5000+3318.039</f>
        <v>8318.039</v>
      </c>
      <c r="F89" s="125">
        <v>1000.03</v>
      </c>
      <c r="G89" s="126">
        <v>1597</v>
      </c>
      <c r="H89" s="112">
        <f>#N/A</f>
        <v>596.97</v>
      </c>
      <c r="I89" s="213">
        <f>G89/F89</f>
        <v>1.596952091437257</v>
      </c>
      <c r="J89" s="117">
        <f>G89-E89</f>
        <v>-6721.039000000001</v>
      </c>
      <c r="K89" s="147">
        <f>G89/E89</f>
        <v>0.1919923674317949</v>
      </c>
      <c r="L89" s="117"/>
      <c r="M89" s="117"/>
      <c r="N89" s="117"/>
      <c r="O89" s="117">
        <v>938.14</v>
      </c>
      <c r="P89" s="117">
        <f>#N/A</f>
        <v>7379.899</v>
      </c>
      <c r="Q89" s="147">
        <f>#N/A</f>
        <v>8.866522054277613</v>
      </c>
      <c r="R89" s="117">
        <v>0.13</v>
      </c>
      <c r="S89" s="117">
        <f>#N/A</f>
        <v>1596.87</v>
      </c>
      <c r="T89" s="147">
        <f>#N/A</f>
        <v>12284.615384615385</v>
      </c>
      <c r="U89" s="112">
        <f>F89-квітень!F88</f>
        <v>193.601</v>
      </c>
      <c r="V89" s="118">
        <f>G89-квітень!G88</f>
        <v>26.1400000000001</v>
      </c>
      <c r="W89" s="117">
        <f>#N/A</f>
        <v>-167.4609999999999</v>
      </c>
      <c r="X89" s="147">
        <f>V89/U89</f>
        <v>0.13501996373985722</v>
      </c>
      <c r="Y89" s="197">
        <f>#N/A</f>
        <v>12275.748862561108</v>
      </c>
    </row>
    <row r="90" spans="2:25" ht="18">
      <c r="B90" s="20" t="s">
        <v>29</v>
      </c>
      <c r="C90" s="58">
        <v>33010000</v>
      </c>
      <c r="D90" s="256">
        <v>16449</v>
      </c>
      <c r="E90" s="125">
        <v>16449</v>
      </c>
      <c r="F90" s="125">
        <v>4015</v>
      </c>
      <c r="G90" s="126">
        <v>1626.2</v>
      </c>
      <c r="H90" s="112">
        <f>#N/A</f>
        <v>-2388.8</v>
      </c>
      <c r="I90" s="213">
        <f>G90/F90</f>
        <v>0.40503113325031137</v>
      </c>
      <c r="J90" s="117">
        <f>#N/A</f>
        <v>-14822.8</v>
      </c>
      <c r="K90" s="147">
        <f>G90/E90</f>
        <v>0.0988631527752447</v>
      </c>
      <c r="L90" s="117"/>
      <c r="M90" s="117"/>
      <c r="N90" s="117"/>
      <c r="O90" s="117">
        <v>8143.65</v>
      </c>
      <c r="P90" s="117">
        <f>#N/A</f>
        <v>8305.35</v>
      </c>
      <c r="Q90" s="147">
        <f>#N/A</f>
        <v>2.0198559613932328</v>
      </c>
      <c r="R90" s="117">
        <v>304.9</v>
      </c>
      <c r="S90" s="117">
        <f>#N/A</f>
        <v>1321.3000000000002</v>
      </c>
      <c r="T90" s="147">
        <f>#N/A</f>
        <v>5.333551984257134</v>
      </c>
      <c r="U90" s="112">
        <f>F90-квітень!F89</f>
        <v>1000</v>
      </c>
      <c r="V90" s="118">
        <f>G90-квітень!G89</f>
        <v>164.84000000000015</v>
      </c>
      <c r="W90" s="117">
        <f>#N/A</f>
        <v>-835.1599999999999</v>
      </c>
      <c r="X90" s="147">
        <f>V90/U90</f>
        <v>0.16484000000000015</v>
      </c>
      <c r="Y90" s="197">
        <f>#N/A</f>
        <v>3.3136960228639016</v>
      </c>
    </row>
    <row r="91" spans="2:25" ht="31.5">
      <c r="B91" s="20" t="s">
        <v>48</v>
      </c>
      <c r="C91" s="58">
        <v>24170000</v>
      </c>
      <c r="D91" s="256">
        <v>22000</v>
      </c>
      <c r="E91" s="125">
        <f>22000+15</f>
        <v>22015</v>
      </c>
      <c r="F91" s="125">
        <v>10000</v>
      </c>
      <c r="G91" s="126">
        <v>1812.53</v>
      </c>
      <c r="H91" s="112">
        <f>#N/A</f>
        <v>-8187.47</v>
      </c>
      <c r="I91" s="213">
        <f>G91/F91</f>
        <v>0.181253</v>
      </c>
      <c r="J91" s="117">
        <f>#N/A</f>
        <v>-20202.47</v>
      </c>
      <c r="K91" s="147">
        <f>G91/E91</f>
        <v>0.08233159209629798</v>
      </c>
      <c r="L91" s="117"/>
      <c r="M91" s="117"/>
      <c r="N91" s="117"/>
      <c r="O91" s="117">
        <v>17305.88</v>
      </c>
      <c r="P91" s="117">
        <f>#N/A</f>
        <v>4709.119999999999</v>
      </c>
      <c r="Q91" s="147">
        <f>#N/A</f>
        <v>1.2721109819321526</v>
      </c>
      <c r="R91" s="117">
        <v>4585.42</v>
      </c>
      <c r="S91" s="117">
        <f>#N/A</f>
        <v>-2772.8900000000003</v>
      </c>
      <c r="T91" s="147">
        <f>#N/A</f>
        <v>0.39528113019090944</v>
      </c>
      <c r="U91" s="112">
        <f>F91-квітень!F90</f>
        <v>2000</v>
      </c>
      <c r="V91" s="118">
        <f>G91-квітень!G90</f>
        <v>64.16000000000008</v>
      </c>
      <c r="W91" s="117">
        <f>#N/A</f>
        <v>-1935.84</v>
      </c>
      <c r="X91" s="147">
        <f>V91/U91</f>
        <v>0.03208000000000004</v>
      </c>
      <c r="Y91" s="197">
        <f>#N/A</f>
        <v>-0.8768298517412432</v>
      </c>
    </row>
    <row r="92" spans="2:25" ht="18">
      <c r="B92" s="20" t="s">
        <v>88</v>
      </c>
      <c r="C92" s="58">
        <v>24110700</v>
      </c>
      <c r="D92" s="256">
        <v>24</v>
      </c>
      <c r="E92" s="125">
        <v>24</v>
      </c>
      <c r="F92" s="125">
        <v>10</v>
      </c>
      <c r="G92" s="126">
        <v>5</v>
      </c>
      <c r="H92" s="112">
        <f>#N/A</f>
        <v>-5</v>
      </c>
      <c r="I92" s="213">
        <f>G92/F92</f>
        <v>0.5</v>
      </c>
      <c r="J92" s="117">
        <f>#N/A</f>
        <v>-19</v>
      </c>
      <c r="K92" s="147">
        <f>G92/E92</f>
        <v>0.20833333333333334</v>
      </c>
      <c r="L92" s="117"/>
      <c r="M92" s="117"/>
      <c r="N92" s="117"/>
      <c r="O92" s="117">
        <v>20</v>
      </c>
      <c r="P92" s="117">
        <f>#N/A</f>
        <v>4</v>
      </c>
      <c r="Q92" s="147">
        <f>#N/A</f>
        <v>1.2</v>
      </c>
      <c r="R92" s="117">
        <v>6</v>
      </c>
      <c r="S92" s="117">
        <f>#N/A</f>
        <v>-1</v>
      </c>
      <c r="T92" s="147">
        <f>#N/A</f>
        <v>0.8333333333333334</v>
      </c>
      <c r="U92" s="112">
        <f>F92-квітень!F91</f>
        <v>2</v>
      </c>
      <c r="V92" s="118">
        <f>G92-квітень!G91</f>
        <v>1</v>
      </c>
      <c r="W92" s="117">
        <f>#N/A</f>
        <v>-1</v>
      </c>
      <c r="X92" s="147">
        <f>V92/U92</f>
        <v>0.5</v>
      </c>
      <c r="Y92" s="197">
        <f>#N/A</f>
        <v>-0.3666666666666666</v>
      </c>
    </row>
    <row r="93" spans="2:28" ht="33">
      <c r="B93" s="22" t="s">
        <v>46</v>
      </c>
      <c r="C93" s="53"/>
      <c r="D93" s="127">
        <f>D89+D90+D91+D92</f>
        <v>43473</v>
      </c>
      <c r="E93" s="127">
        <f>E89+E90+E91+E92</f>
        <v>46806.039000000004</v>
      </c>
      <c r="F93" s="127">
        <f>F89+F90+F91+F92</f>
        <v>15025.029999999999</v>
      </c>
      <c r="G93" s="128">
        <f>G89+G90+G91+G92</f>
        <v>5040.73</v>
      </c>
      <c r="H93" s="129">
        <f>#N/A</f>
        <v>-9984.3</v>
      </c>
      <c r="I93" s="216">
        <f>G93/F93</f>
        <v>0.33548884760962205</v>
      </c>
      <c r="J93" s="131">
        <f>#N/A</f>
        <v>-41765.30900000001</v>
      </c>
      <c r="K93" s="151">
        <f>G93/E93</f>
        <v>0.10769400931362723</v>
      </c>
      <c r="L93" s="131"/>
      <c r="M93" s="131"/>
      <c r="N93" s="131"/>
      <c r="O93" s="131">
        <v>26407.66</v>
      </c>
      <c r="P93" s="131">
        <f>#N/A</f>
        <v>20398.379000000004</v>
      </c>
      <c r="Q93" s="151">
        <f>#N/A</f>
        <v>1.772441746069133</v>
      </c>
      <c r="R93" s="131">
        <v>4896.44</v>
      </c>
      <c r="S93" s="117">
        <f>#N/A</f>
        <v>144.28999999999996</v>
      </c>
      <c r="T93" s="147">
        <f>#N/A</f>
        <v>1.029468348432739</v>
      </c>
      <c r="U93" s="129">
        <f>F93-квітень!F92</f>
        <v>3195.6009999999987</v>
      </c>
      <c r="V93" s="174">
        <f>G93-квітень!G92</f>
        <v>256.1399999999994</v>
      </c>
      <c r="W93" s="131">
        <f>#N/A</f>
        <v>-2939.4609999999993</v>
      </c>
      <c r="X93" s="151">
        <f>V93/U93</f>
        <v>0.08015393661473992</v>
      </c>
      <c r="Y93" s="197">
        <f>#N/A</f>
        <v>-0.7429733976363941</v>
      </c>
      <c r="AB93" s="4" t="s">
        <v>202</v>
      </c>
    </row>
    <row r="94" spans="2:25" ht="46.5">
      <c r="B94" s="12" t="s">
        <v>35</v>
      </c>
      <c r="C94" s="60">
        <v>24062100</v>
      </c>
      <c r="D94" s="257">
        <v>43</v>
      </c>
      <c r="E94" s="125">
        <v>43</v>
      </c>
      <c r="F94" s="125">
        <v>15</v>
      </c>
      <c r="G94" s="126">
        <v>1.43</v>
      </c>
      <c r="H94" s="112">
        <f>#N/A</f>
        <v>-13.57</v>
      </c>
      <c r="I94" s="213"/>
      <c r="J94" s="117">
        <f>#N/A</f>
        <v>-41.57</v>
      </c>
      <c r="K94" s="147"/>
      <c r="L94" s="117"/>
      <c r="M94" s="117"/>
      <c r="N94" s="117"/>
      <c r="O94" s="117">
        <v>49.17</v>
      </c>
      <c r="P94" s="117">
        <f>#N/A</f>
        <v>-6.170000000000002</v>
      </c>
      <c r="Q94" s="147">
        <f>#N/A</f>
        <v>0.8745169818995322</v>
      </c>
      <c r="R94" s="117">
        <v>34.1</v>
      </c>
      <c r="S94" s="117">
        <f>#N/A</f>
        <v>-32.67</v>
      </c>
      <c r="T94" s="147">
        <f>#N/A</f>
        <v>0.04193548387096774</v>
      </c>
      <c r="U94" s="112">
        <f>F94-квітень!F93</f>
        <v>4</v>
      </c>
      <c r="V94" s="118">
        <f>G94-квітень!G93</f>
        <v>0.1299999999999999</v>
      </c>
      <c r="W94" s="117">
        <f>#N/A</f>
        <v>-3.87</v>
      </c>
      <c r="X94" s="147"/>
      <c r="Y94" s="197">
        <f>#N/A</f>
        <v>-0.8325814980285644</v>
      </c>
    </row>
    <row r="95" spans="2:25" ht="18" hidden="1">
      <c r="B95" s="166" t="s">
        <v>47</v>
      </c>
      <c r="C95" s="58">
        <v>24061600</v>
      </c>
      <c r="D95" s="256"/>
      <c r="E95" s="125">
        <v>0</v>
      </c>
      <c r="F95" s="125">
        <f>E95</f>
        <v>0</v>
      </c>
      <c r="G95" s="126">
        <v>0</v>
      </c>
      <c r="H95" s="112">
        <f>#N/A</f>
        <v>0</v>
      </c>
      <c r="I95" s="213"/>
      <c r="J95" s="117">
        <f>#N/A</f>
        <v>0</v>
      </c>
      <c r="K95" s="224"/>
      <c r="L95" s="134"/>
      <c r="M95" s="134"/>
      <c r="N95" s="134"/>
      <c r="O95" s="134"/>
      <c r="P95" s="117">
        <f>#N/A</f>
        <v>0</v>
      </c>
      <c r="Q95" s="147" t="e">
        <f>#N/A</f>
        <v>#DIV/0!</v>
      </c>
      <c r="R95" s="117">
        <f>O95</f>
        <v>0</v>
      </c>
      <c r="S95" s="117">
        <f>#N/A</f>
        <v>0</v>
      </c>
      <c r="T95" s="147" t="e">
        <f>#N/A</f>
        <v>#DIV/0!</v>
      </c>
      <c r="U95" s="112">
        <f>F95-квітень!F94</f>
        <v>0</v>
      </c>
      <c r="V95" s="118">
        <f>G95-квітень!G94</f>
        <v>0</v>
      </c>
      <c r="W95" s="117">
        <f>#N/A</f>
        <v>0</v>
      </c>
      <c r="X95" s="224"/>
      <c r="Y95" s="197" t="e">
        <f>#N/A</f>
        <v>#DIV/0!</v>
      </c>
    </row>
    <row r="96" spans="2:25" ht="18">
      <c r="B96" s="20" t="s">
        <v>41</v>
      </c>
      <c r="C96" s="58">
        <v>19010000</v>
      </c>
      <c r="D96" s="256">
        <v>9050</v>
      </c>
      <c r="E96" s="125">
        <v>9050</v>
      </c>
      <c r="F96" s="125">
        <v>5901.95</v>
      </c>
      <c r="G96" s="126">
        <v>5288.72</v>
      </c>
      <c r="H96" s="112">
        <f>#N/A</f>
        <v>-613.2299999999996</v>
      </c>
      <c r="I96" s="213">
        <f>G96/F96</f>
        <v>0.8960970526690332</v>
      </c>
      <c r="J96" s="117">
        <f>#N/A</f>
        <v>-3761.2799999999997</v>
      </c>
      <c r="K96" s="147">
        <f>G96/E96</f>
        <v>0.5843889502762432</v>
      </c>
      <c r="L96" s="117"/>
      <c r="M96" s="117"/>
      <c r="N96" s="117"/>
      <c r="O96" s="117">
        <v>8033.94</v>
      </c>
      <c r="P96" s="117">
        <f>#N/A</f>
        <v>1016.0600000000004</v>
      </c>
      <c r="Q96" s="147">
        <f>#N/A</f>
        <v>1.1264709470073215</v>
      </c>
      <c r="R96" s="117">
        <v>5103.22</v>
      </c>
      <c r="S96" s="117">
        <f>#N/A</f>
        <v>185.5</v>
      </c>
      <c r="T96" s="147">
        <f>#N/A</f>
        <v>1.0363495988807068</v>
      </c>
      <c r="U96" s="112">
        <f>F96-квітень!F95</f>
        <v>3068.5</v>
      </c>
      <c r="V96" s="118">
        <f>G96-квітень!G95</f>
        <v>2685.0200000000004</v>
      </c>
      <c r="W96" s="117">
        <f>#N/A</f>
        <v>-383.47999999999956</v>
      </c>
      <c r="X96" s="147">
        <f>V96/U96</f>
        <v>0.8750268861007008</v>
      </c>
      <c r="Y96" s="197">
        <f>#N/A</f>
        <v>-0.09012134812661476</v>
      </c>
    </row>
    <row r="97" spans="2:25" ht="31.5" hidden="1">
      <c r="B97" s="20" t="s">
        <v>45</v>
      </c>
      <c r="C97" s="58">
        <v>19050000</v>
      </c>
      <c r="D97" s="242"/>
      <c r="E97" s="125">
        <v>0</v>
      </c>
      <c r="F97" s="125">
        <v>0</v>
      </c>
      <c r="G97" s="126">
        <v>0</v>
      </c>
      <c r="H97" s="112">
        <f>#N/A</f>
        <v>0</v>
      </c>
      <c r="I97" s="213"/>
      <c r="J97" s="117">
        <f>#N/A</f>
        <v>0</v>
      </c>
      <c r="K97" s="147"/>
      <c r="L97" s="117"/>
      <c r="M97" s="117"/>
      <c r="N97" s="117"/>
      <c r="O97" s="117">
        <v>0.1</v>
      </c>
      <c r="P97" s="117">
        <f>#N/A</f>
        <v>-0.1</v>
      </c>
      <c r="Q97" s="147">
        <f>#N/A</f>
        <v>0</v>
      </c>
      <c r="R97" s="117">
        <v>0</v>
      </c>
      <c r="S97" s="117">
        <f>#N/A</f>
        <v>0</v>
      </c>
      <c r="T97" s="147" t="e">
        <f>#N/A</f>
        <v>#DIV/0!</v>
      </c>
      <c r="U97" s="112">
        <f>F97-січень!F96</f>
        <v>0</v>
      </c>
      <c r="V97" s="118">
        <f>G97-березень!G96</f>
        <v>0</v>
      </c>
      <c r="W97" s="117">
        <f>#N/A</f>
        <v>0</v>
      </c>
      <c r="X97" s="224"/>
      <c r="Y97" s="197" t="e">
        <f>#N/A</f>
        <v>#DIV/0!</v>
      </c>
    </row>
    <row r="98" spans="2:25" ht="30.75">
      <c r="B98" s="22" t="s">
        <v>42</v>
      </c>
      <c r="C98" s="58"/>
      <c r="D98" s="127">
        <f>D94+D97+D95+D96</f>
        <v>9093</v>
      </c>
      <c r="E98" s="127">
        <f>E94+E97+E95+E96</f>
        <v>9093</v>
      </c>
      <c r="F98" s="127">
        <f>F94+F97+F95+F96</f>
        <v>5916.95</v>
      </c>
      <c r="G98" s="128">
        <f>G94+G97+G95+G96</f>
        <v>5290.150000000001</v>
      </c>
      <c r="H98" s="129">
        <f>#N/A</f>
        <v>-626.7999999999993</v>
      </c>
      <c r="I98" s="216">
        <f>G98/F98</f>
        <v>0.8940670446767339</v>
      </c>
      <c r="J98" s="131">
        <f>#N/A</f>
        <v>-3802.8499999999995</v>
      </c>
      <c r="K98" s="151">
        <f>G98/E98</f>
        <v>0.5817826899813043</v>
      </c>
      <c r="L98" s="131"/>
      <c r="M98" s="131"/>
      <c r="N98" s="131"/>
      <c r="O98" s="131">
        <v>8083.21</v>
      </c>
      <c r="P98" s="131">
        <f>#N/A</f>
        <v>1009.79</v>
      </c>
      <c r="Q98" s="151">
        <f>#N/A</f>
        <v>1.1249243802895137</v>
      </c>
      <c r="R98" s="131">
        <v>5137.37</v>
      </c>
      <c r="S98" s="117">
        <f>#N/A</f>
        <v>152.78000000000065</v>
      </c>
      <c r="T98" s="147">
        <f>#N/A</f>
        <v>1.0297389520318763</v>
      </c>
      <c r="U98" s="129">
        <f>F98-квітень!F97</f>
        <v>3072.5</v>
      </c>
      <c r="V98" s="174">
        <f>G98-квітень!G97</f>
        <v>2685.1500000000005</v>
      </c>
      <c r="W98" s="131">
        <f>#N/A</f>
        <v>-387.34999999999945</v>
      </c>
      <c r="X98" s="151">
        <f>V98/U98</f>
        <v>0.8739300244100897</v>
      </c>
      <c r="Y98" s="197">
        <f>#N/A</f>
        <v>-0.09518542825763743</v>
      </c>
    </row>
    <row r="99" spans="2:25" ht="30.75">
      <c r="B99" s="12" t="s">
        <v>36</v>
      </c>
      <c r="C99" s="34">
        <v>24110900</v>
      </c>
      <c r="D99" s="229">
        <v>19.413</v>
      </c>
      <c r="E99" s="125">
        <v>47.413</v>
      </c>
      <c r="F99" s="125">
        <v>15.75</v>
      </c>
      <c r="G99" s="126">
        <v>18.69</v>
      </c>
      <c r="H99" s="112">
        <f>#N/A</f>
        <v>2.9400000000000013</v>
      </c>
      <c r="I99" s="213">
        <f>G99/F99</f>
        <v>1.1866666666666668</v>
      </c>
      <c r="J99" s="117">
        <f>#N/A</f>
        <v>-28.722999999999995</v>
      </c>
      <c r="K99" s="147">
        <f>G99/E99</f>
        <v>0.3941956847278173</v>
      </c>
      <c r="L99" s="117"/>
      <c r="M99" s="117"/>
      <c r="N99" s="117"/>
      <c r="O99" s="117">
        <v>37.96</v>
      </c>
      <c r="P99" s="117">
        <f>#N/A</f>
        <v>9.452999999999996</v>
      </c>
      <c r="Q99" s="147">
        <f>#N/A</f>
        <v>1.2490252897787144</v>
      </c>
      <c r="R99" s="131">
        <v>7.74</v>
      </c>
      <c r="S99" s="117">
        <f>#N/A</f>
        <v>10.950000000000001</v>
      </c>
      <c r="T99" s="147">
        <f>#N/A</f>
        <v>2.414728682170543</v>
      </c>
      <c r="U99" s="112">
        <f>F99-квітень!F98</f>
        <v>1.7599999999999998</v>
      </c>
      <c r="V99" s="118">
        <f>G99-квітень!G98</f>
        <v>2.710000000000001</v>
      </c>
      <c r="W99" s="117">
        <f>#N/A</f>
        <v>0.9500000000000011</v>
      </c>
      <c r="X99" s="147">
        <f>V99/U99</f>
        <v>1.539772727272728</v>
      </c>
      <c r="Y99" s="197">
        <f>#N/A</f>
        <v>1.1657033923918285</v>
      </c>
    </row>
    <row r="100" spans="2:25" ht="18" hidden="1">
      <c r="B100" s="83"/>
      <c r="C100" s="34">
        <v>21110000</v>
      </c>
      <c r="D100" s="229"/>
      <c r="E100" s="125">
        <v>0</v>
      </c>
      <c r="F100" s="125">
        <v>0</v>
      </c>
      <c r="G100" s="126"/>
      <c r="H100" s="112" t="e">
        <f>#N/A</f>
        <v>#N/A</v>
      </c>
      <c r="I100" s="213"/>
      <c r="J100" s="117" t="e">
        <f>#N/A</f>
        <v>#N/A</v>
      </c>
      <c r="K100" s="147"/>
      <c r="L100" s="117"/>
      <c r="M100" s="117"/>
      <c r="N100" s="117"/>
      <c r="O100" s="117"/>
      <c r="P100" s="117"/>
      <c r="Q100" s="147"/>
      <c r="R100" s="117">
        <v>18.76</v>
      </c>
      <c r="S100" s="131" t="e">
        <f>#N/A</f>
        <v>#N/A</v>
      </c>
      <c r="T100" s="147">
        <f>#N/A</f>
        <v>0</v>
      </c>
      <c r="U100" s="114" t="e">
        <f>F100-#REF!</f>
        <v>#REF!</v>
      </c>
      <c r="V100" s="118" t="e">
        <f>G100-#REF!</f>
        <v>#REF!</v>
      </c>
      <c r="W100" s="117" t="e">
        <f>#N/A</f>
        <v>#N/A</v>
      </c>
      <c r="X100" s="147"/>
      <c r="Y100" s="197">
        <f>#N/A</f>
        <v>0</v>
      </c>
    </row>
    <row r="101" spans="2:25" ht="23.25" customHeight="1">
      <c r="B101" s="181" t="s">
        <v>30</v>
      </c>
      <c r="C101" s="182"/>
      <c r="D101" s="183">
        <f>D87+D88+D93+D98+D99</f>
        <v>52585.413</v>
      </c>
      <c r="E101" s="183">
        <f>E87+E88+E93+E98+E99</f>
        <v>55946.452000000005</v>
      </c>
      <c r="F101" s="183">
        <f>F87+F88+F93+F98+F99</f>
        <v>20957.73</v>
      </c>
      <c r="G101" s="183">
        <f>G87+G88+G93+G98+G99</f>
        <v>10359.01</v>
      </c>
      <c r="H101" s="184">
        <f>G101-F101</f>
        <v>-10598.72</v>
      </c>
      <c r="I101" s="217">
        <f>G101/F101</f>
        <v>0.49428110773447315</v>
      </c>
      <c r="J101" s="177">
        <f>G101-E101</f>
        <v>-45587.442</v>
      </c>
      <c r="K101" s="178">
        <f>G101/E101</f>
        <v>0.1851593734666141</v>
      </c>
      <c r="L101" s="177"/>
      <c r="M101" s="177"/>
      <c r="N101" s="177"/>
      <c r="O101" s="177">
        <v>34561.77</v>
      </c>
      <c r="P101" s="177">
        <f>E101-O101</f>
        <v>21384.682000000008</v>
      </c>
      <c r="Q101" s="178">
        <f>E101/O101</f>
        <v>1.6187380449554525</v>
      </c>
      <c r="R101" s="183">
        <v>10074.49</v>
      </c>
      <c r="S101" s="177">
        <f>G101-R101</f>
        <v>284.52000000000044</v>
      </c>
      <c r="T101" s="178">
        <f>#N/A</f>
        <v>1.0282416281121922</v>
      </c>
      <c r="U101" s="183">
        <f>U87+U88+U93+U98+U99</f>
        <v>6269.860999999999</v>
      </c>
      <c r="V101" s="183">
        <f>V87+V88+V93+V98+V99</f>
        <v>2944</v>
      </c>
      <c r="W101" s="177">
        <f>V101-U101</f>
        <v>-3325.860999999999</v>
      </c>
      <c r="X101" s="178">
        <f>V101/U101</f>
        <v>0.46954788949866677</v>
      </c>
      <c r="Y101" s="197">
        <f>T101-Q101</f>
        <v>-0.5904964168432603</v>
      </c>
    </row>
    <row r="102" spans="2:25" ht="17.25">
      <c r="B102" s="185" t="s">
        <v>103</v>
      </c>
      <c r="C102" s="182"/>
      <c r="D102" s="251">
        <f>D80+D101</f>
        <v>1680503.113</v>
      </c>
      <c r="E102" s="183">
        <f>E80+E101</f>
        <v>1709481.2519999999</v>
      </c>
      <c r="F102" s="183">
        <f>F80+F101</f>
        <v>681532.85</v>
      </c>
      <c r="G102" s="183">
        <f>G80+G101</f>
        <v>683740.38</v>
      </c>
      <c r="H102" s="184">
        <f>G102-F102</f>
        <v>2207.530000000028</v>
      </c>
      <c r="I102" s="217">
        <f>G102/F102</f>
        <v>1.0032390661726724</v>
      </c>
      <c r="J102" s="177">
        <f>G102-E102</f>
        <v>-1025740.8719999999</v>
      </c>
      <c r="K102" s="178">
        <f>G102/E102</f>
        <v>0.3999695107507386</v>
      </c>
      <c r="L102" s="177"/>
      <c r="M102" s="177"/>
      <c r="N102" s="177"/>
      <c r="O102" s="177">
        <f>O80+O101</f>
        <v>1433558.23</v>
      </c>
      <c r="P102" s="177">
        <f>E102-O102</f>
        <v>275923.0219999999</v>
      </c>
      <c r="Q102" s="178">
        <f>E102/O102</f>
        <v>1.1924742338509682</v>
      </c>
      <c r="R102" s="177">
        <f>R80+R101</f>
        <v>542542.6799999999</v>
      </c>
      <c r="S102" s="177">
        <f>S80+S101</f>
        <v>141197.70000000004</v>
      </c>
      <c r="T102" s="178">
        <f>#N/A</f>
        <v>1.2602517833251388</v>
      </c>
      <c r="U102" s="184">
        <f>U80+U101</f>
        <v>177618.62099999993</v>
      </c>
      <c r="V102" s="184">
        <f>V80+V101</f>
        <v>161481.95999999996</v>
      </c>
      <c r="W102" s="177">
        <f>V102-U102</f>
        <v>-16136.660999999964</v>
      </c>
      <c r="X102" s="178">
        <f>V102/U102</f>
        <v>0.9091499477411213</v>
      </c>
      <c r="Y102" s="197">
        <f>T102-Q102</f>
        <v>0.06777754947417058</v>
      </c>
    </row>
    <row r="103" spans="2:24" ht="15">
      <c r="B103" s="262" t="s">
        <v>159</v>
      </c>
      <c r="D103" s="4"/>
      <c r="F103" s="78"/>
      <c r="G103" s="4"/>
      <c r="U103" s="226"/>
      <c r="V103" s="226"/>
      <c r="W103" s="226"/>
      <c r="X103" s="226"/>
    </row>
    <row r="104" spans="2:24" ht="15">
      <c r="B104" s="4" t="s">
        <v>160</v>
      </c>
      <c r="C104" s="264">
        <v>0</v>
      </c>
      <c r="D104" s="4" t="s">
        <v>161</v>
      </c>
      <c r="F104" s="78"/>
      <c r="G104" s="4"/>
      <c r="U104" s="226"/>
      <c r="V104" s="226"/>
      <c r="W104" s="226"/>
      <c r="X104" s="226"/>
    </row>
    <row r="105" spans="2:22" ht="30.75">
      <c r="B105" s="266" t="s">
        <v>162</v>
      </c>
      <c r="C105" s="267"/>
      <c r="D105" s="4" t="s">
        <v>24</v>
      </c>
      <c r="F105" s="78"/>
      <c r="G105" s="267">
        <f>IF(H80&lt;0,ABS(H80/C104),0)</f>
        <v>0</v>
      </c>
      <c r="H105" s="268"/>
      <c r="I105" s="268"/>
      <c r="J105" s="268"/>
      <c r="V105" s="267" t="e">
        <f>IF(W80&lt;0,ABS(W80/C104),0)</f>
        <v>#DIV/0!</v>
      </c>
    </row>
    <row r="106" spans="2:7" ht="30.75">
      <c r="B106" s="270" t="s">
        <v>163</v>
      </c>
      <c r="C106" s="271">
        <v>43251</v>
      </c>
      <c r="D106" s="267"/>
      <c r="E106" s="267">
        <v>12815.7</v>
      </c>
      <c r="F106" s="78"/>
      <c r="G106" s="4" t="s">
        <v>164</v>
      </c>
    </row>
    <row r="107" spans="3:10" ht="15">
      <c r="C107" s="271">
        <v>43250</v>
      </c>
      <c r="D107" s="267"/>
      <c r="E107" s="267">
        <v>16959.9</v>
      </c>
      <c r="F107" s="78"/>
      <c r="G107" s="500"/>
      <c r="H107" s="500"/>
      <c r="I107" s="273"/>
      <c r="J107" s="274"/>
    </row>
    <row r="108" spans="3:10" ht="15">
      <c r="C108" s="271">
        <v>43249</v>
      </c>
      <c r="D108" s="267"/>
      <c r="E108" s="267">
        <v>15541.8</v>
      </c>
      <c r="F108" s="78"/>
      <c r="G108" s="500"/>
      <c r="H108" s="500"/>
      <c r="I108" s="273"/>
      <c r="J108" s="276"/>
    </row>
    <row r="109" spans="3:10" ht="15">
      <c r="C109" s="271"/>
      <c r="D109" s="4"/>
      <c r="F109" s="278"/>
      <c r="G109" s="501"/>
      <c r="H109" s="501"/>
      <c r="I109" s="279"/>
      <c r="J109" s="274"/>
    </row>
    <row r="110" spans="2:10" ht="16.5">
      <c r="B110" s="502" t="s">
        <v>165</v>
      </c>
      <c r="C110" s="503"/>
      <c r="D110" s="280"/>
      <c r="E110" s="434">
        <f>143460/1000</f>
        <v>143.46</v>
      </c>
      <c r="F110" s="282" t="s">
        <v>166</v>
      </c>
      <c r="G110" s="500"/>
      <c r="H110" s="500"/>
      <c r="I110" s="283"/>
      <c r="J110" s="274"/>
    </row>
    <row r="111" spans="4:10" ht="15">
      <c r="D111" s="4"/>
      <c r="F111" s="278"/>
      <c r="G111" s="500"/>
      <c r="H111" s="500"/>
      <c r="I111" s="278"/>
      <c r="J111" s="281"/>
    </row>
    <row r="112" spans="2:10" ht="15" customHeight="1">
      <c r="B112" s="499"/>
      <c r="C112" s="499"/>
      <c r="D112" s="285"/>
      <c r="E112" s="286"/>
      <c r="F112" s="278"/>
      <c r="G112" s="500"/>
      <c r="H112" s="500"/>
      <c r="I112" s="278"/>
      <c r="J112" s="281"/>
    </row>
    <row r="113" spans="2:24" ht="15" hidden="1">
      <c r="B113" s="287" t="s">
        <v>168</v>
      </c>
      <c r="D113" s="278">
        <f>D60+D63+D64</f>
        <v>2095</v>
      </c>
      <c r="E113" s="278">
        <f>#N/A</f>
        <v>2095</v>
      </c>
      <c r="F113" s="278">
        <f>#N/A</f>
        <v>827</v>
      </c>
      <c r="G113" s="435">
        <f>#N/A</f>
        <v>835.0200000000001</v>
      </c>
      <c r="H113" s="278">
        <f>#N/A</f>
        <v>8.019999999999989</v>
      </c>
      <c r="I113" s="436">
        <f>G113/F113</f>
        <v>1.0096977025392988</v>
      </c>
      <c r="J113" s="278">
        <f>#N/A</f>
        <v>-1259.98</v>
      </c>
      <c r="K113" s="436">
        <f>G113/E113</f>
        <v>0.3985775656324583</v>
      </c>
      <c r="L113" s="278">
        <f>#N/A</f>
        <v>0</v>
      </c>
      <c r="M113" s="278">
        <f>#N/A</f>
        <v>0</v>
      </c>
      <c r="N113" s="278">
        <f>#N/A</f>
        <v>0</v>
      </c>
      <c r="O113" s="278">
        <f>#N/A</f>
        <v>1956.6200000000001</v>
      </c>
      <c r="P113" s="278">
        <f>#N/A</f>
        <v>138.37999999999994</v>
      </c>
      <c r="Q113" s="436">
        <f>E113/O113</f>
        <v>1.0707240036389283</v>
      </c>
      <c r="R113" s="278">
        <f>#N/A</f>
        <v>733.8000000000001</v>
      </c>
      <c r="S113" s="278">
        <f>#N/A</f>
        <v>101.22</v>
      </c>
      <c r="T113" s="436">
        <f>G113/R113</f>
        <v>1.1379394930498774</v>
      </c>
      <c r="U113" s="278">
        <f>#N/A</f>
        <v>182</v>
      </c>
      <c r="V113" s="288">
        <f>#N/A</f>
        <v>172.71999999999997</v>
      </c>
      <c r="W113" s="278">
        <f>#N/A</f>
        <v>-9.28000000000002</v>
      </c>
      <c r="X113" s="436">
        <f>V113/U113</f>
        <v>0.9490109890109889</v>
      </c>
    </row>
    <row r="114" spans="4:9" ht="15" hidden="1">
      <c r="D114" s="265"/>
      <c r="F114" s="78"/>
      <c r="G114" s="4"/>
      <c r="I114" s="267"/>
    </row>
    <row r="115" spans="2:10" ht="15" hidden="1">
      <c r="B115" s="4" t="s">
        <v>204</v>
      </c>
      <c r="D115" s="267">
        <f>D9+D15+D18+D19+D23+D54+D57+D59+D71+D78+D94+D96</f>
        <v>1592543.3</v>
      </c>
      <c r="E115" s="267">
        <f>E9+E15+E18+E19+E23+E54+E57+E59+E71+E78+E94+E96</f>
        <v>1615160.4</v>
      </c>
      <c r="F115" s="267">
        <f>F9+F15+F18+F19+F23+F54+F57+F59+F71+F78+F94+F96</f>
        <v>645797.7699999999</v>
      </c>
      <c r="G115" s="289">
        <f>G9+G15+G18+G19+G23+G54+G57+G59+G71+G78+G94+G96</f>
        <v>657381.12</v>
      </c>
      <c r="H115" s="267">
        <f>H9+H15+H18+H19+H23+H54+H57+H59+H71+H78+H94+H96</f>
        <v>11583.350000000017</v>
      </c>
      <c r="I115" s="163">
        <f>G115/F115</f>
        <v>1.017936497365112</v>
      </c>
      <c r="J115" s="267"/>
    </row>
    <row r="116" spans="2:10" ht="15" hidden="1">
      <c r="B116" s="4" t="s">
        <v>205</v>
      </c>
      <c r="D116" s="267">
        <f>D55+D58+D60+D63+D64+D65+D72+D76+D89+D90+D91+D92+D99</f>
        <v>65675.813</v>
      </c>
      <c r="E116" s="267">
        <f>E55+E58+E60+E63+E64+E65+E72+E76+E89+E90+E91+E92+E99</f>
        <v>71036.852</v>
      </c>
      <c r="F116" s="267">
        <f>F55+F58+F60+F63+F64+F65+F72+F76+F89+F90+F91+F92+F99</f>
        <v>25244.940000000002</v>
      </c>
      <c r="G116" s="289">
        <f>G55+G58+G60+G63+G64+G65+G72+G76+G89+G90+G91+G92+G99</f>
        <v>15445.43</v>
      </c>
      <c r="H116" s="267">
        <f>H55+H58+H60+H63+H64+H65+H72+H76+H89+H90+H91+H92+H99</f>
        <v>-9799.51</v>
      </c>
      <c r="I116" s="163">
        <f>G116/F116</f>
        <v>0.6118228048868406</v>
      </c>
      <c r="J116" s="267"/>
    </row>
    <row r="117" spans="2:10" ht="15" hidden="1">
      <c r="B117" s="4" t="s">
        <v>206</v>
      </c>
      <c r="D117" s="267">
        <f>D56+D62+D66+D79</f>
        <v>22284</v>
      </c>
      <c r="E117" s="267">
        <f>E56+E62+E66+E79</f>
        <v>23284</v>
      </c>
      <c r="F117" s="267">
        <f>F56+F62+F66+F79</f>
        <v>10490.14</v>
      </c>
      <c r="G117" s="289">
        <f>G56+G62+G66+G79</f>
        <v>10904.3</v>
      </c>
      <c r="H117" s="267">
        <f>H56+H62+H66+H79</f>
        <v>414.15999999999923</v>
      </c>
      <c r="I117" s="163">
        <f>G117/F117</f>
        <v>1.0394808839538843</v>
      </c>
      <c r="J117" s="267"/>
    </row>
    <row r="118" spans="2:10" ht="15" hidden="1">
      <c r="B118" s="365" t="s">
        <v>207</v>
      </c>
      <c r="C118" s="438"/>
      <c r="D118" s="439">
        <f>D115+D116+D117</f>
        <v>1680503.1130000001</v>
      </c>
      <c r="E118" s="439">
        <f>E115+E116+E117</f>
        <v>1709481.2519999999</v>
      </c>
      <c r="F118" s="439">
        <f>F115+F116+F117</f>
        <v>681532.85</v>
      </c>
      <c r="G118" s="440">
        <f>G115+G116+G117</f>
        <v>683730.8500000001</v>
      </c>
      <c r="H118" s="439">
        <f>H115+H116+H117</f>
        <v>2198.000000000016</v>
      </c>
      <c r="I118" s="441">
        <f>G118/F118</f>
        <v>1.0032250829875626</v>
      </c>
      <c r="J118" s="267"/>
    </row>
    <row r="119" spans="4:10" ht="15" hidden="1">
      <c r="D119" s="267">
        <f>D118-D102</f>
        <v>0</v>
      </c>
      <c r="E119" s="267">
        <f>E118-E102</f>
        <v>0</v>
      </c>
      <c r="F119" s="267">
        <f>F118-F102</f>
        <v>0</v>
      </c>
      <c r="G119" s="289">
        <f>G118-G102</f>
        <v>-9.529999999911524</v>
      </c>
      <c r="H119" s="267">
        <f>H118-H102</f>
        <v>-9.530000000012024</v>
      </c>
      <c r="I119" s="163"/>
      <c r="J119" s="267"/>
    </row>
    <row r="120" spans="4:7" ht="15" hidden="1">
      <c r="D120" s="4"/>
      <c r="E120" s="4" t="s">
        <v>164</v>
      </c>
      <c r="F120" s="78"/>
      <c r="G120" s="4"/>
    </row>
    <row r="121" spans="2:7" ht="15" hidden="1">
      <c r="B121" s="272"/>
      <c r="D121" s="4"/>
      <c r="E121" s="267"/>
      <c r="F121" s="78"/>
      <c r="G121" s="4"/>
    </row>
    <row r="122" spans="2:8" ht="15" hidden="1">
      <c r="B122" s="272"/>
      <c r="D122" s="4"/>
      <c r="E122" s="267"/>
      <c r="F122" s="78"/>
      <c r="G122" s="4"/>
      <c r="H122" s="267"/>
    </row>
    <row r="123" spans="4:11" ht="15" hidden="1">
      <c r="D123" s="3"/>
      <c r="F123" s="78"/>
      <c r="G123" s="4"/>
      <c r="H123" s="267"/>
      <c r="I123" s="3"/>
      <c r="K123" s="3"/>
    </row>
    <row r="124" spans="2:12" ht="18" hidden="1">
      <c r="B124" s="83" t="s">
        <v>174</v>
      </c>
      <c r="C124" s="34">
        <v>25000000</v>
      </c>
      <c r="D124" s="125">
        <v>90449.655</v>
      </c>
      <c r="E124" s="458">
        <v>18102.06</v>
      </c>
      <c r="F124" s="458">
        <v>20254.32</v>
      </c>
      <c r="G124" s="459">
        <v>2152.2599999999984</v>
      </c>
      <c r="H124" s="114">
        <f>G124-F124</f>
        <v>-18102.06</v>
      </c>
      <c r="I124" s="147">
        <f>#N/A</f>
        <v>0.10626177526572102</v>
      </c>
      <c r="J124" s="117">
        <f>G124-E124</f>
        <v>-15949.800000000003</v>
      </c>
      <c r="K124" s="147">
        <f>G124/E124</f>
        <v>0.1188958604711286</v>
      </c>
      <c r="L124" s="3"/>
    </row>
    <row r="125" spans="2:12" ht="17.25" hidden="1">
      <c r="B125" s="13" t="s">
        <v>30</v>
      </c>
      <c r="C125" s="294"/>
      <c r="D125" s="295">
        <f>D124+D101</f>
        <v>143035.068</v>
      </c>
      <c r="E125" s="295">
        <f>#N/A</f>
        <v>74048.512</v>
      </c>
      <c r="F125" s="295">
        <f>#N/A</f>
        <v>41212.05</v>
      </c>
      <c r="G125" s="295">
        <f>#N/A</f>
        <v>12511.269999999999</v>
      </c>
      <c r="H125" s="295">
        <f>#N/A</f>
        <v>-28700.78</v>
      </c>
      <c r="I125" s="447">
        <f>#N/A</f>
        <v>0.303582811337946</v>
      </c>
      <c r="J125" s="295">
        <f>#N/A</f>
        <v>-61537.242000000006</v>
      </c>
      <c r="K125" s="447">
        <f>G125/F125</f>
        <v>0.303582811337946</v>
      </c>
      <c r="L125" s="3"/>
    </row>
    <row r="126" spans="2:12" ht="17.25" hidden="1">
      <c r="B126" s="302" t="s">
        <v>175</v>
      </c>
      <c r="C126" s="294"/>
      <c r="D126" s="295">
        <f>D102+D124</f>
        <v>1770952.768</v>
      </c>
      <c r="E126" s="295">
        <f>#N/A</f>
        <v>1727583.312</v>
      </c>
      <c r="F126" s="295">
        <f>#N/A</f>
        <v>701787.1699999999</v>
      </c>
      <c r="G126" s="295">
        <f>#N/A</f>
        <v>685892.64</v>
      </c>
      <c r="H126" s="295">
        <f>#N/A</f>
        <v>-15894.529999999973</v>
      </c>
      <c r="I126" s="447">
        <f>#N/A</f>
        <v>0.977351352832512</v>
      </c>
      <c r="J126" s="295">
        <f>#N/A</f>
        <v>-1041690.6719999999</v>
      </c>
      <c r="K126" s="447">
        <f>G126/F126</f>
        <v>0.977351352832512</v>
      </c>
      <c r="L126" s="3"/>
    </row>
    <row r="127" spans="2:12" ht="15" hidden="1">
      <c r="B127" s="304" t="s">
        <v>176</v>
      </c>
      <c r="C127" s="305">
        <v>40000000</v>
      </c>
      <c r="D127" s="306">
        <v>1499675.196</v>
      </c>
      <c r="E127" s="306">
        <v>1499675.2</v>
      </c>
      <c r="F127" s="460">
        <v>322086.73</v>
      </c>
      <c r="G127" s="460"/>
      <c r="H127" s="306">
        <f>G127-F127</f>
        <v>-322086.73</v>
      </c>
      <c r="I127" s="448">
        <f>#N/A</f>
        <v>0</v>
      </c>
      <c r="J127" s="29">
        <f>G127-E127</f>
        <v>-1499675.2</v>
      </c>
      <c r="K127" s="448">
        <f>G127/E127</f>
        <v>0</v>
      </c>
      <c r="L127" s="3"/>
    </row>
    <row r="128" spans="2:12" ht="26.25" hidden="1">
      <c r="B128" s="450" t="s">
        <v>211</v>
      </c>
      <c r="C128" s="451">
        <v>41033900</v>
      </c>
      <c r="D128" s="452">
        <v>249086.1</v>
      </c>
      <c r="E128" s="453">
        <v>249086.1</v>
      </c>
      <c r="F128" s="453">
        <v>38359.2</v>
      </c>
      <c r="G128" s="452">
        <v>38359.2</v>
      </c>
      <c r="H128" s="452">
        <f>G128-F128</f>
        <v>0</v>
      </c>
      <c r="I128" s="145">
        <f>#N/A</f>
        <v>1</v>
      </c>
      <c r="J128" s="74">
        <f>G128-E128</f>
        <v>-210726.90000000002</v>
      </c>
      <c r="K128" s="145">
        <f>G128/E128</f>
        <v>0.15399976152824263</v>
      </c>
      <c r="L128" s="3"/>
    </row>
    <row r="129" spans="2:12" ht="26.25" hidden="1">
      <c r="B129" s="450" t="s">
        <v>212</v>
      </c>
      <c r="C129" s="451">
        <v>41034200</v>
      </c>
      <c r="D129" s="452">
        <v>226186</v>
      </c>
      <c r="E129" s="452">
        <v>226186</v>
      </c>
      <c r="F129" s="452">
        <v>44005.9</v>
      </c>
      <c r="G129" s="452">
        <v>44005.9</v>
      </c>
      <c r="H129" s="452">
        <f>G129-F129</f>
        <v>0</v>
      </c>
      <c r="I129" s="145">
        <f>#N/A</f>
        <v>1</v>
      </c>
      <c r="J129" s="74">
        <f>G129-E129</f>
        <v>-182180.1</v>
      </c>
      <c r="K129" s="145">
        <f>G129/E129</f>
        <v>0.19455625016579275</v>
      </c>
      <c r="L129" s="3"/>
    </row>
    <row r="130" spans="2:12" ht="15" hidden="1">
      <c r="B130" s="304" t="s">
        <v>208</v>
      </c>
      <c r="C130" s="305"/>
      <c r="D130" s="306">
        <v>0</v>
      </c>
      <c r="E130" s="306">
        <v>0</v>
      </c>
      <c r="F130" s="306">
        <v>0</v>
      </c>
      <c r="G130" s="306">
        <v>0</v>
      </c>
      <c r="H130" s="306">
        <f>G130-F130</f>
        <v>0</v>
      </c>
      <c r="I130" s="448" t="e">
        <f>#N/A</f>
        <v>#DIV/0!</v>
      </c>
      <c r="J130" s="29">
        <f>G130-E130</f>
        <v>0</v>
      </c>
      <c r="K130" s="448" t="e">
        <f>G130/E130</f>
        <v>#DIV/0!</v>
      </c>
      <c r="L130" s="3"/>
    </row>
    <row r="131" spans="2:12" ht="18" hidden="1">
      <c r="B131" s="312" t="s">
        <v>179</v>
      </c>
      <c r="C131" s="313"/>
      <c r="D131" s="314">
        <f>D126+D127+D130</f>
        <v>3270627.9639999997</v>
      </c>
      <c r="E131" s="314">
        <f>#N/A</f>
        <v>3227258.512</v>
      </c>
      <c r="F131" s="314">
        <f>#N/A</f>
        <v>1023873.8999999999</v>
      </c>
      <c r="G131" s="314">
        <f>#N/A</f>
        <v>685892.64</v>
      </c>
      <c r="H131" s="314">
        <f>#N/A</f>
        <v>-337981.25999999995</v>
      </c>
      <c r="I131" s="449">
        <f>#N/A</f>
        <v>0.6698995257130786</v>
      </c>
      <c r="J131" s="314">
        <f>#N/A</f>
        <v>-2541365.872</v>
      </c>
      <c r="K131" s="449">
        <f>G131/E131</f>
        <v>0.2125310499452174</v>
      </c>
      <c r="L131" s="3"/>
    </row>
    <row r="132" spans="4:7" ht="15" hidden="1">
      <c r="D132" s="4"/>
      <c r="F132" s="78"/>
      <c r="G132" s="4"/>
    </row>
    <row r="133" spans="4:7" ht="15" hidden="1">
      <c r="D133" s="4"/>
      <c r="F133" s="78"/>
      <c r="G133" s="4"/>
    </row>
    <row r="134" spans="4:7" ht="15" hidden="1">
      <c r="D134" s="267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4:7" ht="15" hidden="1">
      <c r="D137" s="267"/>
      <c r="F137" s="78"/>
      <c r="G137" s="4"/>
    </row>
    <row r="138" spans="2:7" ht="15" hidden="1">
      <c r="B138" s="320" t="s">
        <v>180</v>
      </c>
      <c r="D138" s="4"/>
      <c r="F138" s="78"/>
      <c r="G138" s="4"/>
    </row>
    <row r="139" spans="2:26" ht="30.75" hidden="1">
      <c r="B139" s="321" t="s">
        <v>181</v>
      </c>
      <c r="C139" s="322">
        <v>13010200</v>
      </c>
      <c r="D139" s="323">
        <f>#N/A</f>
        <v>0</v>
      </c>
      <c r="E139" s="323">
        <f>#N/A</f>
        <v>0</v>
      </c>
      <c r="F139" s="323">
        <f>#N/A</f>
        <v>0</v>
      </c>
      <c r="G139" s="323">
        <f>#N/A</f>
        <v>0</v>
      </c>
      <c r="H139" s="323">
        <f>#N/A</f>
        <v>0</v>
      </c>
      <c r="I139" s="357">
        <f>#N/A</f>
        <v>0</v>
      </c>
      <c r="J139" s="323">
        <f>#N/A</f>
        <v>0</v>
      </c>
      <c r="K139" s="357">
        <f>#N/A</f>
        <v>0</v>
      </c>
      <c r="L139" s="323">
        <f>#N/A</f>
        <v>0</v>
      </c>
      <c r="M139" s="323">
        <f>#N/A</f>
        <v>0</v>
      </c>
      <c r="N139" s="323">
        <f>#N/A</f>
        <v>0</v>
      </c>
      <c r="O139" s="323">
        <f>#N/A</f>
        <v>0.49</v>
      </c>
      <c r="P139" s="323">
        <f>#N/A</f>
        <v>-0.49</v>
      </c>
      <c r="Q139" s="357">
        <f>#N/A</f>
        <v>0</v>
      </c>
      <c r="R139" s="323">
        <f>#N/A</f>
        <v>0</v>
      </c>
      <c r="S139" s="323">
        <f>#N/A</f>
        <v>0</v>
      </c>
      <c r="T139" s="357" t="e">
        <f>#N/A</f>
        <v>#DIV/0!</v>
      </c>
      <c r="U139" s="323">
        <f>#N/A</f>
        <v>0</v>
      </c>
      <c r="V139" s="323">
        <f>#N/A</f>
        <v>0</v>
      </c>
      <c r="W139" s="323">
        <f>#N/A</f>
        <v>0</v>
      </c>
      <c r="X139" s="357">
        <f>#N/A</f>
        <v>0</v>
      </c>
      <c r="Y139" s="446" t="e">
        <f>T139-Q139</f>
        <v>#DIV/0!</v>
      </c>
      <c r="Z139" s="163"/>
    </row>
    <row r="140" spans="2:26" ht="30.75" hidden="1">
      <c r="B140" s="329" t="s">
        <v>182</v>
      </c>
      <c r="C140" s="322">
        <v>13030200</v>
      </c>
      <c r="D140" s="323">
        <f>#N/A</f>
        <v>235.6</v>
      </c>
      <c r="E140" s="323">
        <f>#N/A</f>
        <v>235.6</v>
      </c>
      <c r="F140" s="323">
        <f>#N/A</f>
        <v>140.5</v>
      </c>
      <c r="G140" s="323">
        <f>#N/A</f>
        <v>194.24</v>
      </c>
      <c r="H140" s="323">
        <f>#N/A</f>
        <v>53.74000000000001</v>
      </c>
      <c r="I140" s="357">
        <f>#N/A</f>
        <v>1.382491103202847</v>
      </c>
      <c r="J140" s="323">
        <f>#N/A</f>
        <v>-41.359999999999985</v>
      </c>
      <c r="K140" s="357">
        <f>#N/A</f>
        <v>82.44482173174873</v>
      </c>
      <c r="L140" s="323">
        <f>#N/A</f>
        <v>0</v>
      </c>
      <c r="M140" s="323">
        <f>#N/A</f>
        <v>0</v>
      </c>
      <c r="N140" s="323">
        <f>#N/A</f>
        <v>0</v>
      </c>
      <c r="O140" s="323">
        <f>#N/A</f>
        <v>220.59</v>
      </c>
      <c r="P140" s="323">
        <f>#N/A</f>
        <v>15.009999999999991</v>
      </c>
      <c r="Q140" s="357">
        <f>#N/A</f>
        <v>1.0680447889750215</v>
      </c>
      <c r="R140" s="323">
        <f>#N/A</f>
        <v>118.46</v>
      </c>
      <c r="S140" s="323">
        <f>#N/A</f>
        <v>75.78000000000002</v>
      </c>
      <c r="T140" s="357">
        <f>#N/A</f>
        <v>1.639709606618268</v>
      </c>
      <c r="U140" s="323">
        <f>#N/A</f>
        <v>20.5</v>
      </c>
      <c r="V140" s="323">
        <f>#N/A</f>
        <v>0</v>
      </c>
      <c r="W140" s="323">
        <f>#N/A</f>
        <v>-20.5</v>
      </c>
      <c r="X140" s="357">
        <f>#N/A</f>
        <v>0</v>
      </c>
      <c r="Y140" s="446">
        <f>#N/A</f>
        <v>0.5716648176432464</v>
      </c>
      <c r="Z140" s="163"/>
    </row>
    <row r="141" spans="2:26" ht="15" hidden="1">
      <c r="B141" s="331" t="s">
        <v>51</v>
      </c>
      <c r="C141" s="332">
        <v>21080500</v>
      </c>
      <c r="D141" s="333">
        <f>#N/A</f>
        <v>158</v>
      </c>
      <c r="E141" s="333">
        <f>#N/A</f>
        <v>158</v>
      </c>
      <c r="F141" s="333">
        <f>#N/A</f>
        <v>56</v>
      </c>
      <c r="G141" s="333">
        <f>#N/A</f>
        <v>51.82</v>
      </c>
      <c r="H141" s="333">
        <f>#N/A</f>
        <v>-4.18</v>
      </c>
      <c r="I141" s="442">
        <f>#N/A</f>
        <v>0.9253571428571429</v>
      </c>
      <c r="J141" s="333">
        <f>#N/A</f>
        <v>-106.18</v>
      </c>
      <c r="K141" s="442">
        <f>#N/A</f>
        <v>0.3279746835443038</v>
      </c>
      <c r="L141" s="333">
        <f>#N/A</f>
        <v>0</v>
      </c>
      <c r="M141" s="333">
        <f>#N/A</f>
        <v>0</v>
      </c>
      <c r="N141" s="333">
        <f>#N/A</f>
        <v>0</v>
      </c>
      <c r="O141" s="333">
        <f>#N/A</f>
        <v>153.3</v>
      </c>
      <c r="P141" s="333">
        <f>#N/A</f>
        <v>4.699999999999989</v>
      </c>
      <c r="Q141" s="442">
        <f>#N/A</f>
        <v>1.030658838878017</v>
      </c>
      <c r="R141" s="333">
        <f>#N/A</f>
        <v>92.8</v>
      </c>
      <c r="S141" s="333">
        <f>#N/A</f>
        <v>-40.98</v>
      </c>
      <c r="T141" s="442">
        <f>#N/A</f>
        <v>0.5584051724137932</v>
      </c>
      <c r="U141" s="333">
        <f>#N/A</f>
        <v>14</v>
      </c>
      <c r="V141" s="333">
        <f>#N/A</f>
        <v>0</v>
      </c>
      <c r="W141" s="333">
        <f>#N/A</f>
        <v>-14</v>
      </c>
      <c r="X141" s="357">
        <f>#N/A</f>
        <v>0</v>
      </c>
      <c r="Y141" s="446">
        <f>#N/A</f>
        <v>-0.47225366646422373</v>
      </c>
      <c r="Z141" s="163"/>
    </row>
    <row r="142" spans="2:26" ht="30.75" hidden="1">
      <c r="B142" s="336" t="s">
        <v>34</v>
      </c>
      <c r="C142" s="337">
        <v>21080900</v>
      </c>
      <c r="D142" s="338">
        <f>#N/A</f>
        <v>13</v>
      </c>
      <c r="E142" s="338">
        <f>#N/A</f>
        <v>13</v>
      </c>
      <c r="F142" s="338">
        <f>#N/A</f>
        <v>6</v>
      </c>
      <c r="G142" s="338">
        <f>#N/A</f>
        <v>2.02</v>
      </c>
      <c r="H142" s="338">
        <f>#N/A</f>
        <v>-3.98</v>
      </c>
      <c r="I142" s="443">
        <f>#N/A</f>
        <v>0.33666666666666667</v>
      </c>
      <c r="J142" s="338">
        <f>#N/A</f>
        <v>-10.98</v>
      </c>
      <c r="K142" s="443">
        <f>#N/A</f>
        <v>0.1553846153846154</v>
      </c>
      <c r="L142" s="338">
        <f>#N/A</f>
        <v>0</v>
      </c>
      <c r="M142" s="338">
        <f>#N/A</f>
        <v>0</v>
      </c>
      <c r="N142" s="338">
        <f>#N/A</f>
        <v>0</v>
      </c>
      <c r="O142" s="338">
        <f>#N/A</f>
        <v>12.95</v>
      </c>
      <c r="P142" s="338">
        <f>#N/A</f>
        <v>0.05000000000000071</v>
      </c>
      <c r="Q142" s="443">
        <f>#N/A</f>
        <v>1.0038610038610039</v>
      </c>
      <c r="R142" s="338">
        <f>#N/A</f>
        <v>2.03</v>
      </c>
      <c r="S142" s="338">
        <f>#N/A</f>
        <v>-0.009999999999999787</v>
      </c>
      <c r="T142" s="443">
        <f>#N/A</f>
        <v>0</v>
      </c>
      <c r="U142" s="338">
        <f>#N/A</f>
        <v>1</v>
      </c>
      <c r="V142" s="338">
        <f>#N/A</f>
        <v>0</v>
      </c>
      <c r="W142" s="338">
        <f>#N/A</f>
        <v>-1</v>
      </c>
      <c r="X142" s="445">
        <f>#N/A</f>
        <v>0</v>
      </c>
      <c r="Y142" s="446">
        <f>#N/A</f>
        <v>-1.0038610038610039</v>
      </c>
      <c r="Z142" s="163"/>
    </row>
    <row r="143" spans="2:26" ht="15" hidden="1">
      <c r="B143" s="329" t="s">
        <v>16</v>
      </c>
      <c r="C143" s="322">
        <v>21081100</v>
      </c>
      <c r="D143" s="323">
        <f>#N/A</f>
        <v>744</v>
      </c>
      <c r="E143" s="323">
        <f>#N/A</f>
        <v>744</v>
      </c>
      <c r="F143" s="323">
        <f>#N/A</f>
        <v>268.43</v>
      </c>
      <c r="G143" s="323">
        <f>#N/A</f>
        <v>544.78</v>
      </c>
      <c r="H143" s="323">
        <f>#N/A</f>
        <v>276.34999999999997</v>
      </c>
      <c r="I143" s="357">
        <f>#N/A</f>
        <v>2.0295048988563127</v>
      </c>
      <c r="J143" s="323">
        <f>#N/A</f>
        <v>-199.22000000000003</v>
      </c>
      <c r="K143" s="357">
        <f>#N/A</f>
        <v>0.7322311827956989</v>
      </c>
      <c r="L143" s="323">
        <f>#N/A</f>
        <v>0</v>
      </c>
      <c r="M143" s="323">
        <f>#N/A</f>
        <v>0</v>
      </c>
      <c r="N143" s="323">
        <f>#N/A</f>
        <v>0</v>
      </c>
      <c r="O143" s="323">
        <f>#N/A</f>
        <v>705.31</v>
      </c>
      <c r="P143" s="323">
        <f>#N/A</f>
        <v>38.690000000000055</v>
      </c>
      <c r="Q143" s="357">
        <f>#N/A</f>
        <v>1.0548553118486907</v>
      </c>
      <c r="R143" s="323">
        <f>#N/A</f>
        <v>442.26</v>
      </c>
      <c r="S143" s="323">
        <f>#N/A</f>
        <v>102.51999999999998</v>
      </c>
      <c r="T143" s="357">
        <f>#N/A</f>
        <v>1.231809342920454</v>
      </c>
      <c r="U143" s="323">
        <f>#N/A</f>
        <v>60</v>
      </c>
      <c r="V143" s="323">
        <f>#N/A</f>
        <v>299</v>
      </c>
      <c r="W143" s="323">
        <f>#N/A</f>
        <v>239</v>
      </c>
      <c r="X143" s="357">
        <f>#N/A</f>
        <v>4.983333333333333</v>
      </c>
      <c r="Y143" s="446">
        <f>#N/A</f>
        <v>0.17695403107176322</v>
      </c>
      <c r="Z143" s="163"/>
    </row>
    <row r="144" spans="2:26" ht="46.5" hidden="1">
      <c r="B144" s="329" t="s">
        <v>67</v>
      </c>
      <c r="C144" s="322">
        <v>21081500</v>
      </c>
      <c r="D144" s="323">
        <f>#N/A</f>
        <v>115.5</v>
      </c>
      <c r="E144" s="323">
        <f>#N/A</f>
        <v>115.5</v>
      </c>
      <c r="F144" s="323">
        <f>#N/A</f>
        <v>40</v>
      </c>
      <c r="G144" s="323">
        <f>#N/A</f>
        <v>48.18</v>
      </c>
      <c r="H144" s="323">
        <f>#N/A</f>
        <v>8.18</v>
      </c>
      <c r="I144" s="357">
        <f>#N/A</f>
        <v>1.2045</v>
      </c>
      <c r="J144" s="323">
        <f>#N/A</f>
        <v>-67.32</v>
      </c>
      <c r="K144" s="357">
        <f>#N/A</f>
        <v>0.41714285714285715</v>
      </c>
      <c r="L144" s="323">
        <f>#N/A</f>
        <v>0</v>
      </c>
      <c r="M144" s="323">
        <f>#N/A</f>
        <v>0</v>
      </c>
      <c r="N144" s="323">
        <f>#N/A</f>
        <v>0</v>
      </c>
      <c r="O144" s="323">
        <f>#N/A</f>
        <v>114.3</v>
      </c>
      <c r="P144" s="323">
        <f>#N/A</f>
        <v>1.2000000000000028</v>
      </c>
      <c r="Q144" s="357">
        <f>#N/A</f>
        <v>1.010498687664042</v>
      </c>
      <c r="R144" s="323">
        <f>#N/A</f>
        <v>1.01</v>
      </c>
      <c r="S144" s="323">
        <f>#N/A</f>
        <v>47.17</v>
      </c>
      <c r="T144" s="357">
        <f>#N/A</f>
        <v>47.7029702970297</v>
      </c>
      <c r="U144" s="323">
        <f>#N/A</f>
        <v>10</v>
      </c>
      <c r="V144" s="323">
        <f>#N/A</f>
        <v>8.96</v>
      </c>
      <c r="W144" s="323">
        <f>#N/A</f>
        <v>-1.0399999999999991</v>
      </c>
      <c r="X144" s="357">
        <f>#N/A</f>
        <v>0.8960000000000001</v>
      </c>
      <c r="Y144" s="446">
        <f>#N/A</f>
        <v>46.69247160936566</v>
      </c>
      <c r="Z144" s="163"/>
    </row>
    <row r="145" spans="2:26" ht="46.5" hidden="1">
      <c r="B145" s="329" t="s">
        <v>17</v>
      </c>
      <c r="C145" s="322" t="s">
        <v>18</v>
      </c>
      <c r="D145" s="323">
        <f>D71</f>
        <v>3</v>
      </c>
      <c r="E145" s="323">
        <f>#N/A</f>
        <v>3</v>
      </c>
      <c r="F145" s="323">
        <f>#N/A</f>
        <v>1.5</v>
      </c>
      <c r="G145" s="323">
        <f>#N/A</f>
        <v>0</v>
      </c>
      <c r="H145" s="323">
        <f>#N/A</f>
        <v>-1.5</v>
      </c>
      <c r="I145" s="357">
        <f>#N/A</f>
        <v>0</v>
      </c>
      <c r="J145" s="323">
        <f>#N/A</f>
        <v>-3</v>
      </c>
      <c r="K145" s="357">
        <f>#N/A</f>
        <v>0</v>
      </c>
      <c r="L145" s="323">
        <f>#N/A</f>
        <v>0</v>
      </c>
      <c r="M145" s="323">
        <f>#N/A</f>
        <v>0</v>
      </c>
      <c r="N145" s="323">
        <f>#N/A</f>
        <v>0</v>
      </c>
      <c r="O145" s="323">
        <f>#N/A</f>
        <v>2.04</v>
      </c>
      <c r="P145" s="323">
        <f>#N/A</f>
        <v>0.96</v>
      </c>
      <c r="Q145" s="357">
        <f>#N/A</f>
        <v>1.4705882352941175</v>
      </c>
      <c r="R145" s="323">
        <f>#N/A</f>
        <v>2.04</v>
      </c>
      <c r="S145" s="323">
        <f>#N/A</f>
        <v>-2.04</v>
      </c>
      <c r="T145" s="357">
        <f>#N/A</f>
        <v>0</v>
      </c>
      <c r="U145" s="323">
        <f>#N/A</f>
        <v>0</v>
      </c>
      <c r="V145" s="323">
        <f>#N/A</f>
        <v>0</v>
      </c>
      <c r="W145" s="323">
        <f>#N/A</f>
        <v>0</v>
      </c>
      <c r="X145" s="357">
        <f>#N/A</f>
        <v>0</v>
      </c>
      <c r="Y145" s="446">
        <f>#N/A</f>
        <v>-1.4705882352941175</v>
      </c>
      <c r="Z145" s="163"/>
    </row>
    <row r="146" spans="2:26" ht="30.75" hidden="1">
      <c r="B146" s="344" t="s">
        <v>39</v>
      </c>
      <c r="C146" s="322">
        <v>31010200</v>
      </c>
      <c r="D146" s="345">
        <f>D78</f>
        <v>35</v>
      </c>
      <c r="E146" s="345">
        <f>#N/A</f>
        <v>35</v>
      </c>
      <c r="F146" s="345">
        <f>#N/A</f>
        <v>15.37</v>
      </c>
      <c r="G146" s="345">
        <f>#N/A</f>
        <v>5.62</v>
      </c>
      <c r="H146" s="345">
        <f>#N/A</f>
        <v>-9.75</v>
      </c>
      <c r="I146" s="444">
        <f>#N/A</f>
        <v>0.36564736499674694</v>
      </c>
      <c r="J146" s="345">
        <f>#N/A</f>
        <v>-29.38</v>
      </c>
      <c r="K146" s="444">
        <f>#N/A</f>
        <v>0.1605714285714286</v>
      </c>
      <c r="L146" s="345">
        <f>#N/A</f>
        <v>0</v>
      </c>
      <c r="M146" s="345">
        <f>#N/A</f>
        <v>0</v>
      </c>
      <c r="N146" s="345">
        <f>#N/A</f>
        <v>0</v>
      </c>
      <c r="O146" s="345">
        <f>#N/A</f>
        <v>34.22</v>
      </c>
      <c r="P146" s="345">
        <f>#N/A</f>
        <v>0.7800000000000011</v>
      </c>
      <c r="Q146" s="444">
        <f>#N/A</f>
        <v>1.0227936879018118</v>
      </c>
      <c r="R146" s="345">
        <f>#N/A</f>
        <v>22.35</v>
      </c>
      <c r="S146" s="345">
        <f>#N/A</f>
        <v>-16.73</v>
      </c>
      <c r="T146" s="444">
        <f>#N/A</f>
        <v>0.25145413870246086</v>
      </c>
      <c r="U146" s="345">
        <f>#N/A</f>
        <v>2.8999999999999986</v>
      </c>
      <c r="V146" s="345">
        <f>#N/A</f>
        <v>0.8799999999999999</v>
      </c>
      <c r="W146" s="345">
        <f>#N/A</f>
        <v>-2.0199999999999987</v>
      </c>
      <c r="X146" s="444">
        <f>#N/A</f>
        <v>0.3034482758620691</v>
      </c>
      <c r="Y146" s="446">
        <f>#N/A</f>
        <v>-0.7713395491993509</v>
      </c>
      <c r="Z146" s="163"/>
    </row>
    <row r="147" spans="2:26" ht="30.75" hidden="1">
      <c r="B147" s="344" t="s">
        <v>49</v>
      </c>
      <c r="C147" s="322">
        <v>31020000</v>
      </c>
      <c r="D147" s="345">
        <f>D79</f>
        <v>0</v>
      </c>
      <c r="E147" s="345">
        <f>#N/A</f>
        <v>0</v>
      </c>
      <c r="F147" s="345">
        <f>#N/A</f>
        <v>0</v>
      </c>
      <c r="G147" s="345">
        <f>#N/A</f>
        <v>0.67</v>
      </c>
      <c r="H147" s="345">
        <f>#N/A</f>
        <v>0.67</v>
      </c>
      <c r="I147" s="444" t="e">
        <f>#N/A</f>
        <v>#DIV/0!</v>
      </c>
      <c r="J147" s="345">
        <f>#N/A</f>
        <v>0.67</v>
      </c>
      <c r="K147" s="444">
        <f>#N/A</f>
        <v>0</v>
      </c>
      <c r="L147" s="345">
        <f>#N/A</f>
        <v>0</v>
      </c>
      <c r="M147" s="345">
        <f>#N/A</f>
        <v>0</v>
      </c>
      <c r="N147" s="345">
        <f>#N/A</f>
        <v>0</v>
      </c>
      <c r="O147" s="345">
        <f>#N/A</f>
        <v>-4.86</v>
      </c>
      <c r="P147" s="345">
        <f>#N/A</f>
        <v>4.86</v>
      </c>
      <c r="Q147" s="444">
        <f>#N/A</f>
        <v>0</v>
      </c>
      <c r="R147" s="345">
        <f>#N/A</f>
        <v>-5.25</v>
      </c>
      <c r="S147" s="345">
        <f>#N/A</f>
        <v>5.92</v>
      </c>
      <c r="T147" s="444">
        <f>#N/A</f>
        <v>-0.12761904761904763</v>
      </c>
      <c r="U147" s="345">
        <f>#N/A</f>
        <v>0</v>
      </c>
      <c r="V147" s="345">
        <f>#N/A</f>
        <v>0.17000000000000004</v>
      </c>
      <c r="W147" s="345">
        <f>#N/A</f>
        <v>0.17000000000000004</v>
      </c>
      <c r="X147" s="444">
        <f>#N/A</f>
        <v>0</v>
      </c>
      <c r="Y147" s="446">
        <f>#N/A</f>
        <v>-0.12761904761904763</v>
      </c>
      <c r="Z147" s="163"/>
    </row>
    <row r="148" spans="4:26" ht="15" hidden="1">
      <c r="D148" s="351">
        <f>SUM(D139:D147)</f>
        <v>1304.1</v>
      </c>
      <c r="E148" s="351">
        <f>SUM(E139:E147)</f>
        <v>1304.1</v>
      </c>
      <c r="F148" s="351">
        <f>SUM(F139:F147)</f>
        <v>527.8000000000001</v>
      </c>
      <c r="G148" s="351">
        <f>SUM(G139:G147)</f>
        <v>847.3299999999999</v>
      </c>
      <c r="H148" s="351">
        <f>SUM(H139:H147)</f>
        <v>319.53</v>
      </c>
      <c r="I148" s="189">
        <f>G148/F148</f>
        <v>1.6053997726411515</v>
      </c>
      <c r="J148" s="351">
        <f>G148-E148</f>
        <v>-456.77</v>
      </c>
      <c r="K148" s="441">
        <f>G148/E148</f>
        <v>0.6497431178590599</v>
      </c>
      <c r="O148" s="351">
        <f>SUM(O139:O147)</f>
        <v>1238.34</v>
      </c>
      <c r="P148" s="351">
        <f>SUM(P139:P147)</f>
        <v>65.76000000000005</v>
      </c>
      <c r="Q148" s="189">
        <f>E148/O148</f>
        <v>1.053103348030428</v>
      </c>
      <c r="R148" s="351">
        <f>SUM(R139:R147)</f>
        <v>675.6999999999999</v>
      </c>
      <c r="S148" s="351">
        <f>SUM(S139:S147)</f>
        <v>171.63000000000002</v>
      </c>
      <c r="T148" s="189">
        <f>G148/R148</f>
        <v>1.2540032558827883</v>
      </c>
      <c r="U148" s="351">
        <f>SUM(U139:U147)</f>
        <v>108.4</v>
      </c>
      <c r="V148" s="351">
        <f>SUM(V139:V147)</f>
        <v>309.01</v>
      </c>
      <c r="W148" s="351">
        <f>SUM(W139:W147)</f>
        <v>200.60999999999999</v>
      </c>
      <c r="X148" s="189">
        <f>V148/U148</f>
        <v>2.8506457564575642</v>
      </c>
      <c r="Y148" s="189">
        <f>#N/A</f>
        <v>0.20089990785236034</v>
      </c>
      <c r="Z148" s="163"/>
    </row>
    <row r="149" spans="4:25" ht="15" hidden="1">
      <c r="D149" s="4"/>
      <c r="F149" s="78"/>
      <c r="G149" s="4"/>
      <c r="Y149" s="189"/>
    </row>
    <row r="150" spans="2:25" ht="15" hidden="1">
      <c r="B150" s="354" t="s">
        <v>183</v>
      </c>
      <c r="D150" s="4"/>
      <c r="F150" s="78"/>
      <c r="G150" s="4"/>
      <c r="Y150" s="189"/>
    </row>
    <row r="151" spans="2:25" ht="30.75" hidden="1">
      <c r="B151" s="355" t="s">
        <v>89</v>
      </c>
      <c r="C151" s="356">
        <v>22010300</v>
      </c>
      <c r="D151" s="323">
        <f>#N/A</f>
        <v>1284</v>
      </c>
      <c r="E151" s="323">
        <f>#N/A</f>
        <v>1284</v>
      </c>
      <c r="F151" s="323">
        <f>#N/A</f>
        <v>498</v>
      </c>
      <c r="G151" s="323">
        <f>#N/A</f>
        <v>473.76</v>
      </c>
      <c r="H151" s="323">
        <f>#N/A</f>
        <v>-24.24000000000001</v>
      </c>
      <c r="I151" s="357">
        <f>#N/A</f>
        <v>0.9513253012048193</v>
      </c>
      <c r="J151" s="323">
        <f>#N/A</f>
        <v>-810.24</v>
      </c>
      <c r="K151" s="357">
        <f>#N/A</f>
        <v>0.3689719626168224</v>
      </c>
      <c r="L151" s="323">
        <f>#N/A</f>
        <v>0</v>
      </c>
      <c r="M151" s="323">
        <f>#N/A</f>
        <v>0</v>
      </c>
      <c r="N151" s="323">
        <f>#N/A</f>
        <v>0</v>
      </c>
      <c r="O151" s="323">
        <f>#N/A</f>
        <v>1205.14</v>
      </c>
      <c r="P151" s="323">
        <f>#N/A</f>
        <v>78.8599999999999</v>
      </c>
      <c r="Q151" s="357">
        <f>#N/A</f>
        <v>1.0654363808354215</v>
      </c>
      <c r="R151" s="323">
        <f>#N/A</f>
        <v>505.13</v>
      </c>
      <c r="S151" s="323">
        <f>#N/A</f>
        <v>-31.370000000000005</v>
      </c>
      <c r="T151" s="357">
        <f>#N/A</f>
        <v>0.9378971749846574</v>
      </c>
      <c r="U151" s="323">
        <f>#N/A</f>
        <v>114</v>
      </c>
      <c r="V151" s="323">
        <f>#N/A</f>
        <v>97.37</v>
      </c>
      <c r="W151" s="323">
        <f>#N/A</f>
        <v>-16.629999999999995</v>
      </c>
      <c r="X151" s="357">
        <f>#N/A</f>
        <v>0.854122807017544</v>
      </c>
      <c r="Y151" s="446">
        <f>#N/A</f>
        <v>-0.12753920585076406</v>
      </c>
    </row>
    <row r="152" spans="2:25" ht="15" hidden="1">
      <c r="B152" s="355" t="s">
        <v>106</v>
      </c>
      <c r="C152" s="356">
        <v>22010200</v>
      </c>
      <c r="D152" s="323">
        <f>#N/A</f>
        <v>0</v>
      </c>
      <c r="E152" s="323">
        <f>#N/A</f>
        <v>0</v>
      </c>
      <c r="F152" s="323">
        <f>#N/A</f>
        <v>0</v>
      </c>
      <c r="G152" s="323">
        <f>#N/A</f>
        <v>0</v>
      </c>
      <c r="H152" s="323">
        <f>#N/A</f>
        <v>0</v>
      </c>
      <c r="I152" s="357" t="e">
        <f>#N/A</f>
        <v>#DIV/0!</v>
      </c>
      <c r="J152" s="323">
        <f>#N/A</f>
        <v>0</v>
      </c>
      <c r="K152" s="357" t="e">
        <f>#N/A</f>
        <v>#DIV/0!</v>
      </c>
      <c r="L152" s="323">
        <f>#N/A</f>
        <v>0</v>
      </c>
      <c r="M152" s="323">
        <f>#N/A</f>
        <v>0</v>
      </c>
      <c r="N152" s="323">
        <f>#N/A</f>
        <v>0</v>
      </c>
      <c r="O152" s="323">
        <f>#N/A</f>
        <v>23.38</v>
      </c>
      <c r="P152" s="323">
        <f>#N/A</f>
        <v>-23.38</v>
      </c>
      <c r="Q152" s="357">
        <f>#N/A</f>
        <v>0</v>
      </c>
      <c r="R152" s="323">
        <f>#N/A</f>
        <v>0</v>
      </c>
      <c r="S152" s="323">
        <f>#N/A</f>
        <v>0</v>
      </c>
      <c r="T152" s="357">
        <f>#N/A</f>
        <v>0</v>
      </c>
      <c r="U152" s="323">
        <f>#N/A</f>
        <v>0</v>
      </c>
      <c r="V152" s="323">
        <f>#N/A</f>
        <v>0</v>
      </c>
      <c r="W152" s="323">
        <f>#N/A</f>
        <v>0</v>
      </c>
      <c r="X152" s="357" t="e">
        <f>#N/A</f>
        <v>#DIV/0!</v>
      </c>
      <c r="Y152" s="446">
        <f>#N/A</f>
        <v>0</v>
      </c>
    </row>
    <row r="153" spans="2:25" ht="15" hidden="1">
      <c r="B153" s="358" t="s">
        <v>65</v>
      </c>
      <c r="C153" s="359">
        <v>22012500</v>
      </c>
      <c r="D153" s="360">
        <f>#N/A</f>
        <v>21260</v>
      </c>
      <c r="E153" s="360">
        <f>#N/A</f>
        <v>22260</v>
      </c>
      <c r="F153" s="360">
        <f>#N/A</f>
        <v>10090</v>
      </c>
      <c r="G153" s="360">
        <f>#N/A</f>
        <v>10554.88</v>
      </c>
      <c r="H153" s="360">
        <f>#N/A</f>
        <v>464.8799999999992</v>
      </c>
      <c r="I153" s="362">
        <f>#N/A</f>
        <v>1.046073339940535</v>
      </c>
      <c r="J153" s="360">
        <f>#N/A</f>
        <v>-11705.12</v>
      </c>
      <c r="K153" s="362">
        <f>#N/A</f>
        <v>0.47416352201257855</v>
      </c>
      <c r="L153" s="360">
        <f>#N/A</f>
        <v>0</v>
      </c>
      <c r="M153" s="360">
        <f>#N/A</f>
        <v>0</v>
      </c>
      <c r="N153" s="360">
        <f>#N/A</f>
        <v>0</v>
      </c>
      <c r="O153" s="360">
        <f>#N/A</f>
        <v>20110.14</v>
      </c>
      <c r="P153" s="360">
        <f>#N/A</f>
        <v>2149.8600000000006</v>
      </c>
      <c r="Q153" s="362">
        <f>#N/A</f>
        <v>1.1069042781402816</v>
      </c>
      <c r="R153" s="360">
        <f>#N/A</f>
        <v>6250.27</v>
      </c>
      <c r="S153" s="360">
        <f>#N/A</f>
        <v>4304.609999999999</v>
      </c>
      <c r="T153" s="362">
        <f>#N/A</f>
        <v>1.6887078478209738</v>
      </c>
      <c r="U153" s="360">
        <f>#N/A</f>
        <v>2600</v>
      </c>
      <c r="V153" s="360">
        <f>#N/A</f>
        <v>2262.42</v>
      </c>
      <c r="W153" s="360">
        <f>#N/A</f>
        <v>-337.5799999999999</v>
      </c>
      <c r="X153" s="362">
        <f>#N/A</f>
        <v>0.8701615384615385</v>
      </c>
      <c r="Y153" s="446">
        <f>#N/A</f>
        <v>0.5818035696806922</v>
      </c>
    </row>
    <row r="154" spans="2:25" ht="30.75" hidden="1">
      <c r="B154" s="358" t="s">
        <v>86</v>
      </c>
      <c r="C154" s="359">
        <v>22012600</v>
      </c>
      <c r="D154" s="360">
        <f>#N/A</f>
        <v>767</v>
      </c>
      <c r="E154" s="360">
        <f>#N/A</f>
        <v>767</v>
      </c>
      <c r="F154" s="360">
        <f>#N/A</f>
        <v>313</v>
      </c>
      <c r="G154" s="360">
        <f>#N/A</f>
        <v>346.44</v>
      </c>
      <c r="H154" s="360">
        <f>#N/A</f>
        <v>33.44</v>
      </c>
      <c r="I154" s="362">
        <f>#N/A</f>
        <v>1.1068370607028755</v>
      </c>
      <c r="J154" s="360">
        <f>#N/A</f>
        <v>-420.56</v>
      </c>
      <c r="K154" s="362">
        <f>#N/A</f>
        <v>0.4516818774445893</v>
      </c>
      <c r="L154" s="360">
        <f>#N/A</f>
        <v>0</v>
      </c>
      <c r="M154" s="360">
        <f>#N/A</f>
        <v>0</v>
      </c>
      <c r="N154" s="360">
        <f>#N/A</f>
        <v>0</v>
      </c>
      <c r="O154" s="360">
        <f>#N/A</f>
        <v>710.04</v>
      </c>
      <c r="P154" s="360">
        <f>#N/A</f>
        <v>56.960000000000036</v>
      </c>
      <c r="Q154" s="362">
        <f>#N/A</f>
        <v>1.0802208326291478</v>
      </c>
      <c r="R154" s="360">
        <f>#N/A</f>
        <v>216.35</v>
      </c>
      <c r="S154" s="360">
        <f>#N/A</f>
        <v>130.09</v>
      </c>
      <c r="T154" s="362">
        <f>#N/A</f>
        <v>1.6012941992142362</v>
      </c>
      <c r="U154" s="360">
        <f>#N/A</f>
        <v>64</v>
      </c>
      <c r="V154" s="360">
        <f>#N/A</f>
        <v>73.58999999999997</v>
      </c>
      <c r="W154" s="360">
        <f>#N/A</f>
        <v>9.589999999999975</v>
      </c>
      <c r="X154" s="362">
        <f>#N/A</f>
        <v>1.1498437499999996</v>
      </c>
      <c r="Y154" s="446">
        <f>#N/A</f>
        <v>0.5210733665850884</v>
      </c>
    </row>
    <row r="155" spans="2:25" ht="30.75" hidden="1">
      <c r="B155" s="358" t="s">
        <v>90</v>
      </c>
      <c r="C155" s="359">
        <v>22012900</v>
      </c>
      <c r="D155" s="360">
        <f>#N/A</f>
        <v>44</v>
      </c>
      <c r="E155" s="360">
        <f>#N/A</f>
        <v>44</v>
      </c>
      <c r="F155" s="360">
        <f>#N/A</f>
        <v>16</v>
      </c>
      <c r="G155" s="360">
        <f>#N/A</f>
        <v>14.82</v>
      </c>
      <c r="H155" s="360">
        <f>#N/A</f>
        <v>-1.1799999999999997</v>
      </c>
      <c r="I155" s="362">
        <f>#N/A</f>
        <v>0.92625</v>
      </c>
      <c r="J155" s="360">
        <f>#N/A</f>
        <v>-29.18</v>
      </c>
      <c r="K155" s="362">
        <f>#N/A</f>
        <v>0.33681818181818185</v>
      </c>
      <c r="L155" s="360">
        <f>#N/A</f>
        <v>0</v>
      </c>
      <c r="M155" s="360">
        <f>#N/A</f>
        <v>0</v>
      </c>
      <c r="N155" s="360">
        <f>#N/A</f>
        <v>0</v>
      </c>
      <c r="O155" s="360">
        <f>#N/A</f>
        <v>41.44</v>
      </c>
      <c r="P155" s="360">
        <f>#N/A</f>
        <v>2.5600000000000023</v>
      </c>
      <c r="Q155" s="362">
        <f>#N/A</f>
        <v>1.0617760617760619</v>
      </c>
      <c r="R155" s="360">
        <f>#N/A</f>
        <v>12.32</v>
      </c>
      <c r="S155" s="360">
        <f>#N/A</f>
        <v>2.5</v>
      </c>
      <c r="T155" s="362">
        <f>#N/A</f>
        <v>1.202922077922078</v>
      </c>
      <c r="U155" s="360">
        <f>#N/A</f>
        <v>4</v>
      </c>
      <c r="V155" s="360">
        <f>#N/A</f>
        <v>1.7599999999999998</v>
      </c>
      <c r="W155" s="360">
        <f>#N/A</f>
        <v>-2.24</v>
      </c>
      <c r="X155" s="362">
        <f>#N/A</f>
        <v>0.43999999999999995</v>
      </c>
      <c r="Y155" s="446">
        <f>#N/A</f>
        <v>0.14114601614601607</v>
      </c>
    </row>
    <row r="156" spans="2:25" ht="15" hidden="1">
      <c r="B156" s="354" t="s">
        <v>183</v>
      </c>
      <c r="C156" s="365">
        <v>22010000</v>
      </c>
      <c r="D156" s="351">
        <f>SUM(D151:D155)</f>
        <v>23355</v>
      </c>
      <c r="E156" s="351">
        <f>#N/A</f>
        <v>24355</v>
      </c>
      <c r="F156" s="351">
        <f>#N/A</f>
        <v>10917</v>
      </c>
      <c r="G156" s="351">
        <f>#N/A</f>
        <v>11389.9</v>
      </c>
      <c r="H156" s="351">
        <f>#N/A</f>
        <v>472.8999999999992</v>
      </c>
      <c r="I156" s="189">
        <f>G156/F156</f>
        <v>1.0433177612897315</v>
      </c>
      <c r="J156" s="351">
        <f>#N/A</f>
        <v>-12965.1</v>
      </c>
      <c r="K156" s="189">
        <f>G156/E156</f>
        <v>0.4676616711147608</v>
      </c>
      <c r="L156" s="351">
        <f>#N/A</f>
        <v>0</v>
      </c>
      <c r="M156" s="351">
        <f>#N/A</f>
        <v>0</v>
      </c>
      <c r="N156" s="351">
        <f>#N/A</f>
        <v>0</v>
      </c>
      <c r="O156" s="351">
        <f>#N/A</f>
        <v>22090.14</v>
      </c>
      <c r="P156" s="351">
        <f>#N/A</f>
        <v>2264.8600000000006</v>
      </c>
      <c r="Q156" s="189">
        <f>E156/O156</f>
        <v>1.1025280962456554</v>
      </c>
      <c r="R156" s="351">
        <f>#N/A</f>
        <v>6984.070000000001</v>
      </c>
      <c r="S156" s="351">
        <f>#N/A</f>
        <v>4405.829999999999</v>
      </c>
      <c r="T156" s="189">
        <f>G156/R156</f>
        <v>1.6308398970800693</v>
      </c>
      <c r="U156" s="351">
        <f>#N/A</f>
        <v>2782</v>
      </c>
      <c r="V156" s="351">
        <f>#N/A</f>
        <v>2435.1400000000003</v>
      </c>
      <c r="W156" s="351">
        <f>#N/A</f>
        <v>-346.85999999999996</v>
      </c>
      <c r="X156" s="189">
        <f>V156/U156</f>
        <v>0.8753199137311288</v>
      </c>
      <c r="Y156" s="189">
        <f>#N/A</f>
        <v>0.5283118008344139</v>
      </c>
    </row>
    <row r="157" spans="4:25" ht="15" hidden="1">
      <c r="D157" s="4"/>
      <c r="F157" s="78"/>
      <c r="G157" s="4"/>
      <c r="Y157" s="189"/>
    </row>
    <row r="158" spans="4:25" ht="15" hidden="1">
      <c r="D158" s="4"/>
      <c r="F158" s="78"/>
      <c r="G158" s="4"/>
      <c r="Y158" s="189"/>
    </row>
    <row r="159" spans="2:25" ht="15" hidden="1">
      <c r="B159" s="354" t="s">
        <v>184</v>
      </c>
      <c r="D159" s="4"/>
      <c r="F159" s="78"/>
      <c r="G159" s="4"/>
      <c r="Y159" s="189"/>
    </row>
    <row r="160" spans="2:25" ht="15" hidden="1">
      <c r="B160" s="366" t="s">
        <v>13</v>
      </c>
      <c r="C160" s="322" t="s">
        <v>19</v>
      </c>
      <c r="D160" s="348">
        <f>D72</f>
        <v>8170</v>
      </c>
      <c r="E160" s="348">
        <f>#N/A</f>
        <v>8170</v>
      </c>
      <c r="F160" s="348">
        <f>#N/A</f>
        <v>3288.65</v>
      </c>
      <c r="G160" s="348">
        <f>#N/A</f>
        <v>2800.45</v>
      </c>
      <c r="H160" s="348">
        <f>#N/A</f>
        <v>-488.2000000000003</v>
      </c>
      <c r="I160" s="347">
        <f>#N/A</f>
        <v>0.851550028127043</v>
      </c>
      <c r="J160" s="348">
        <f>#N/A</f>
        <v>-5369.55</v>
      </c>
      <c r="K160" s="347">
        <f>#N/A</f>
        <v>0.3427723378212974</v>
      </c>
      <c r="L160" s="348">
        <f>#N/A</f>
        <v>0</v>
      </c>
      <c r="M160" s="348">
        <f>#N/A</f>
        <v>0</v>
      </c>
      <c r="N160" s="348">
        <f>#N/A</f>
        <v>0</v>
      </c>
      <c r="O160" s="348">
        <f>#N/A</f>
        <v>8086.92</v>
      </c>
      <c r="P160" s="348">
        <f>#N/A</f>
        <v>83.07999999999993</v>
      </c>
      <c r="Q160" s="347">
        <f>#N/A</f>
        <v>1.0102733797292418</v>
      </c>
      <c r="R160" s="348">
        <f>#N/A</f>
        <v>4037.14</v>
      </c>
      <c r="S160" s="348">
        <f>#N/A</f>
        <v>-1236.69</v>
      </c>
      <c r="T160" s="347">
        <f>#N/A</f>
        <v>0.6936717577294818</v>
      </c>
      <c r="U160" s="348">
        <f>#N/A</f>
        <v>680</v>
      </c>
      <c r="V160" s="348">
        <f>#N/A</f>
        <v>766.4199999999998</v>
      </c>
      <c r="W160" s="348">
        <f>#N/A</f>
        <v>86.41999999999985</v>
      </c>
      <c r="X160" s="347">
        <f>#N/A</f>
        <v>1.1270882352941174</v>
      </c>
      <c r="Y160" s="189">
        <f>#N/A</f>
        <v>-0.31660162199976005</v>
      </c>
    </row>
    <row r="161" spans="2:25" ht="46.5" hidden="1">
      <c r="B161" s="366" t="s">
        <v>38</v>
      </c>
      <c r="C161" s="322">
        <v>24061900</v>
      </c>
      <c r="D161" s="348">
        <f>D76</f>
        <v>174.4</v>
      </c>
      <c r="E161" s="348">
        <f>#N/A</f>
        <v>174.4</v>
      </c>
      <c r="F161" s="348">
        <f>#N/A</f>
        <v>20</v>
      </c>
      <c r="G161" s="348">
        <f>#N/A</f>
        <v>0</v>
      </c>
      <c r="H161" s="348">
        <f>#N/A</f>
        <v>-20</v>
      </c>
      <c r="I161" s="347">
        <f>#N/A</f>
        <v>0</v>
      </c>
      <c r="J161" s="348">
        <f>#N/A</f>
        <v>-174.4</v>
      </c>
      <c r="K161" s="347">
        <f>#N/A</f>
        <v>0</v>
      </c>
      <c r="L161" s="348">
        <f>#N/A</f>
        <v>0</v>
      </c>
      <c r="M161" s="348">
        <f>#N/A</f>
        <v>0</v>
      </c>
      <c r="N161" s="348">
        <f>#N/A</f>
        <v>0</v>
      </c>
      <c r="O161" s="348">
        <f>#N/A</f>
        <v>142.18</v>
      </c>
      <c r="P161" s="348">
        <f>#N/A</f>
        <v>32.22</v>
      </c>
      <c r="Q161" s="347">
        <f>#N/A</f>
        <v>1.2266141510761006</v>
      </c>
      <c r="R161" s="348">
        <f>#N/A</f>
        <v>54.64</v>
      </c>
      <c r="S161" s="348">
        <f>#N/A</f>
        <v>-54.64</v>
      </c>
      <c r="T161" s="347">
        <f>#N/A</f>
        <v>0</v>
      </c>
      <c r="U161" s="348">
        <f>#N/A</f>
        <v>0</v>
      </c>
      <c r="V161" s="348">
        <f>#N/A</f>
        <v>0</v>
      </c>
      <c r="W161" s="348">
        <f>#N/A</f>
        <v>0</v>
      </c>
      <c r="X161" s="347" t="e">
        <f>#N/A</f>
        <v>#DIV/0!</v>
      </c>
      <c r="Y161" s="189">
        <f>#N/A</f>
        <v>-1.2266141510761006</v>
      </c>
    </row>
    <row r="162" spans="2:25" ht="15" hidden="1">
      <c r="B162" s="354" t="s">
        <v>184</v>
      </c>
      <c r="C162" s="370">
        <v>24060000</v>
      </c>
      <c r="D162" s="351">
        <f>SUM(D160:D161)</f>
        <v>8344.4</v>
      </c>
      <c r="E162" s="351">
        <f>#N/A</f>
        <v>8344.4</v>
      </c>
      <c r="F162" s="351">
        <f>#N/A</f>
        <v>3308.65</v>
      </c>
      <c r="G162" s="351">
        <f>#N/A</f>
        <v>2800.45</v>
      </c>
      <c r="H162" s="351">
        <f>#N/A</f>
        <v>-508.2000000000003</v>
      </c>
      <c r="I162" s="189">
        <f>G162/F162</f>
        <v>0.84640261133695</v>
      </c>
      <c r="J162" s="351">
        <f>#N/A</f>
        <v>-5543.95</v>
      </c>
      <c r="K162" s="189">
        <f>G162/E162</f>
        <v>0.3356083121614496</v>
      </c>
      <c r="L162" s="351">
        <f>#N/A</f>
        <v>0</v>
      </c>
      <c r="M162" s="351">
        <f>#N/A</f>
        <v>0</v>
      </c>
      <c r="N162" s="351">
        <f>#N/A</f>
        <v>0</v>
      </c>
      <c r="O162" s="351">
        <f>#N/A</f>
        <v>8229.1</v>
      </c>
      <c r="P162" s="351">
        <f>#N/A</f>
        <v>115.29999999999993</v>
      </c>
      <c r="Q162" s="189">
        <f>E162/O162</f>
        <v>1.0140112527493892</v>
      </c>
      <c r="R162" s="351">
        <f>#N/A</f>
        <v>4091.7799999999997</v>
      </c>
      <c r="S162" s="351">
        <f>#N/A</f>
        <v>-1291.3300000000002</v>
      </c>
      <c r="T162" s="189">
        <f>G162/R162</f>
        <v>0.684408741427936</v>
      </c>
      <c r="U162" s="351">
        <f>#N/A</f>
        <v>680</v>
      </c>
      <c r="V162" s="351">
        <f>#N/A</f>
        <v>766.4199999999998</v>
      </c>
      <c r="W162" s="351">
        <f>#N/A</f>
        <v>86.41999999999985</v>
      </c>
      <c r="X162" s="189">
        <f>V162/U162</f>
        <v>1.1270882352941174</v>
      </c>
      <c r="Y162" s="189">
        <f>#N/A</f>
        <v>-0.32960251132145324</v>
      </c>
    </row>
    <row r="163" ht="15" hidden="1"/>
    <row r="168" spans="6:8" ht="15">
      <c r="F168" s="267"/>
      <c r="H168" s="163"/>
    </row>
    <row r="170" spans="6:9" ht="15">
      <c r="F170" s="267"/>
      <c r="H170" s="267"/>
      <c r="I170" s="163"/>
    </row>
  </sheetData>
  <sheetProtection/>
  <mergeCells count="30"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  <mergeCell ref="F4:F5"/>
    <mergeCell ref="G4:G5"/>
    <mergeCell ref="H4:H5"/>
    <mergeCell ref="I4:I5"/>
    <mergeCell ref="J4:J5"/>
    <mergeCell ref="K4:K5"/>
    <mergeCell ref="V4:V5"/>
    <mergeCell ref="W4:W5"/>
    <mergeCell ref="X4:X5"/>
    <mergeCell ref="L5:N5"/>
    <mergeCell ref="O5:Q5"/>
    <mergeCell ref="R5:T5"/>
    <mergeCell ref="B112:C112"/>
    <mergeCell ref="G112:H112"/>
    <mergeCell ref="G107:H107"/>
    <mergeCell ref="G108:H108"/>
    <mergeCell ref="G109:H109"/>
    <mergeCell ref="B110:C110"/>
    <mergeCell ref="G110:H110"/>
    <mergeCell ref="G111:H111"/>
  </mergeCells>
  <printOptions/>
  <pageMargins left="0" right="0" top="0" bottom="0" header="0" footer="0"/>
  <pageSetup fitToHeight="2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1"/>
  <sheetViews>
    <sheetView zoomScale="72" zoomScaleNormal="72" zoomScalePageLayoutView="0" workbookViewId="0" topLeftCell="B1">
      <pane xSplit="3" ySplit="8" topLeftCell="E43" activePane="bottomRight" state="frozen"/>
      <selection pane="topLeft" activeCell="B1" sqref="B1"/>
      <selection pane="topRight" activeCell="E1" sqref="E1"/>
      <selection pane="bottomLeft" activeCell="B9" sqref="B9"/>
      <selection pane="bottomRight" activeCell="V47" sqref="V4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4.50390625" style="4" customWidth="1"/>
    <col min="24" max="24" width="12.75390625" style="4" customWidth="1"/>
    <col min="25" max="25" width="11.375" style="186" hidden="1" customWidth="1"/>
    <col min="26" max="16384" width="9.125" style="4" customWidth="1"/>
  </cols>
  <sheetData>
    <row r="1" spans="1:25" s="1" customFormat="1" ht="26.25" customHeight="1">
      <c r="A1" s="504" t="s">
        <v>237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186"/>
    </row>
    <row r="2" spans="2:25" s="1" customFormat="1" ht="15.75" customHeight="1">
      <c r="B2" s="470"/>
      <c r="C2" s="470"/>
      <c r="D2" s="470"/>
      <c r="E2" s="470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71"/>
      <c r="B3" s="473"/>
      <c r="C3" s="474" t="s">
        <v>0</v>
      </c>
      <c r="D3" s="475" t="s">
        <v>131</v>
      </c>
      <c r="E3" s="475" t="s">
        <v>221</v>
      </c>
      <c r="F3" s="25"/>
      <c r="G3" s="476" t="s">
        <v>26</v>
      </c>
      <c r="H3" s="477"/>
      <c r="I3" s="477"/>
      <c r="J3" s="477"/>
      <c r="K3" s="478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479" t="s">
        <v>227</v>
      </c>
      <c r="V3" s="482" t="s">
        <v>228</v>
      </c>
      <c r="W3" s="482"/>
      <c r="X3" s="482"/>
      <c r="Y3" s="194"/>
    </row>
    <row r="4" spans="1:24" ht="22.5" customHeight="1">
      <c r="A4" s="471"/>
      <c r="B4" s="473"/>
      <c r="C4" s="474"/>
      <c r="D4" s="475"/>
      <c r="E4" s="475"/>
      <c r="F4" s="483" t="s">
        <v>224</v>
      </c>
      <c r="G4" s="485" t="s">
        <v>31</v>
      </c>
      <c r="H4" s="487" t="s">
        <v>225</v>
      </c>
      <c r="I4" s="480" t="s">
        <v>226</v>
      </c>
      <c r="J4" s="487" t="s">
        <v>132</v>
      </c>
      <c r="K4" s="480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0"/>
      <c r="V4" s="489" t="s">
        <v>230</v>
      </c>
      <c r="W4" s="487" t="s">
        <v>44</v>
      </c>
      <c r="X4" s="491" t="s">
        <v>43</v>
      </c>
    </row>
    <row r="5" spans="1:24" ht="67.5" customHeight="1">
      <c r="A5" s="472"/>
      <c r="B5" s="473"/>
      <c r="C5" s="474"/>
      <c r="D5" s="475"/>
      <c r="E5" s="475"/>
      <c r="F5" s="484"/>
      <c r="G5" s="486"/>
      <c r="H5" s="488"/>
      <c r="I5" s="481"/>
      <c r="J5" s="488"/>
      <c r="K5" s="481"/>
      <c r="L5" s="492" t="s">
        <v>135</v>
      </c>
      <c r="M5" s="493"/>
      <c r="N5" s="494"/>
      <c r="O5" s="495" t="s">
        <v>210</v>
      </c>
      <c r="P5" s="496"/>
      <c r="Q5" s="497"/>
      <c r="R5" s="498" t="s">
        <v>229</v>
      </c>
      <c r="S5" s="498"/>
      <c r="T5" s="498"/>
      <c r="U5" s="481"/>
      <c r="V5" s="490"/>
      <c r="W5" s="488"/>
      <c r="X5" s="491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474823.34</v>
      </c>
      <c r="G8" s="103">
        <f>G9+G15+G18+G19+G23+G17</f>
        <v>498702.38</v>
      </c>
      <c r="H8" s="103">
        <f>G8-F8</f>
        <v>23879.03999999998</v>
      </c>
      <c r="I8" s="210">
        <f>#N/A</f>
        <v>1.050290366939418</v>
      </c>
      <c r="J8" s="104">
        <f>#N/A</f>
        <v>-1081931.42</v>
      </c>
      <c r="K8" s="156">
        <f>#N/A</f>
        <v>0.3155078551401343</v>
      </c>
      <c r="L8" s="104"/>
      <c r="M8" s="104"/>
      <c r="N8" s="104"/>
      <c r="O8" s="104">
        <v>1329586.12</v>
      </c>
      <c r="P8" s="104">
        <f>#N/A</f>
        <v>251047.67999999993</v>
      </c>
      <c r="Q8" s="156">
        <f>#N/A</f>
        <v>1.188816411531131</v>
      </c>
      <c r="R8" s="103">
        <v>400312.26</v>
      </c>
      <c r="S8" s="103">
        <f>#N/A</f>
        <v>98390.12</v>
      </c>
      <c r="T8" s="143">
        <f>#N/A</f>
        <v>1.2457834291660215</v>
      </c>
      <c r="U8" s="103">
        <f>U9+U15+U18+U19+U23+U17</f>
        <v>113280.40100000001</v>
      </c>
      <c r="V8" s="103">
        <f>V9+V15+V18+V19+V23+V17</f>
        <v>131584.28000000003</v>
      </c>
      <c r="W8" s="103">
        <f>V8-U8</f>
        <v>18303.879000000015</v>
      </c>
      <c r="X8" s="143">
        <f>#N/A</f>
        <v>1.161580280776019</v>
      </c>
      <c r="Y8" s="199">
        <f>#N/A</f>
        <v>0.05696701763489043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v>956203</v>
      </c>
      <c r="F9" s="102">
        <f>283716.14-13065</f>
        <v>270651.14</v>
      </c>
      <c r="G9" s="106">
        <v>298354.07</v>
      </c>
      <c r="H9" s="102">
        <f>G9-F9</f>
        <v>27702.929999999993</v>
      </c>
      <c r="I9" s="208">
        <f>#N/A</f>
        <v>1.1023565982393424</v>
      </c>
      <c r="J9" s="108">
        <f>#N/A</f>
        <v>-657848.9299999999</v>
      </c>
      <c r="K9" s="148">
        <f>#N/A</f>
        <v>0.312019592074068</v>
      </c>
      <c r="L9" s="108"/>
      <c r="M9" s="108"/>
      <c r="N9" s="108"/>
      <c r="O9" s="108">
        <v>775821.8</v>
      </c>
      <c r="P9" s="108">
        <f>#N/A</f>
        <v>180381.19999999995</v>
      </c>
      <c r="Q9" s="148">
        <f>#N/A</f>
        <v>1.2325033918871575</v>
      </c>
      <c r="R9" s="115">
        <v>223096.1</v>
      </c>
      <c r="S9" s="109">
        <f>#N/A</f>
        <v>75257.97</v>
      </c>
      <c r="T9" s="144">
        <f>#N/A</f>
        <v>1.3373343146742591</v>
      </c>
      <c r="U9" s="107">
        <f>F9-березень!F9</f>
        <v>61454.80100000001</v>
      </c>
      <c r="V9" s="110">
        <f>G9-березень!G9</f>
        <v>79558.54000000001</v>
      </c>
      <c r="W9" s="111">
        <f>V9-U9</f>
        <v>18103.739</v>
      </c>
      <c r="X9" s="148">
        <f>#N/A</f>
        <v>1.2945862439616393</v>
      </c>
      <c r="Y9" s="200">
        <f>#N/A</f>
        <v>0.1048309227871016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</f>
        <v>881803</v>
      </c>
      <c r="F10" s="71">
        <f>262178.7-13065</f>
        <v>249113.7</v>
      </c>
      <c r="G10" s="94">
        <v>272600.95</v>
      </c>
      <c r="H10" s="71">
        <f>#N/A</f>
        <v>23487.25</v>
      </c>
      <c r="I10" s="209">
        <f>#N/A</f>
        <v>1.0942832529884947</v>
      </c>
      <c r="J10" s="72">
        <f>#N/A</f>
        <v>-609202.05</v>
      </c>
      <c r="K10" s="75">
        <f>#N/A</f>
        <v>0.30914042025259614</v>
      </c>
      <c r="L10" s="72"/>
      <c r="M10" s="72"/>
      <c r="N10" s="72"/>
      <c r="O10" s="72">
        <v>709899.75</v>
      </c>
      <c r="P10" s="72">
        <f>#N/A</f>
        <v>171903.25</v>
      </c>
      <c r="Q10" s="75">
        <f>#N/A</f>
        <v>1.2421514446229909</v>
      </c>
      <c r="R10" s="74">
        <v>204365.86</v>
      </c>
      <c r="S10" s="74">
        <f>#N/A</f>
        <v>68235.09000000003</v>
      </c>
      <c r="T10" s="145">
        <f>#N/A</f>
        <v>1.3338869319953932</v>
      </c>
      <c r="U10" s="73">
        <f>F10-березень!F10</f>
        <v>56235</v>
      </c>
      <c r="V10" s="98">
        <f>G10-березень!G10</f>
        <v>72766.06</v>
      </c>
      <c r="W10" s="74">
        <f>#N/A</f>
        <v>16531.059999999998</v>
      </c>
      <c r="X10" s="75">
        <f>#N/A</f>
        <v>1.2939639014848403</v>
      </c>
      <c r="Y10" s="198">
        <f>#N/A</f>
        <v>0.09173548737240234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14534.7</v>
      </c>
      <c r="G11" s="94">
        <v>16479.14</v>
      </c>
      <c r="H11" s="71">
        <f>#N/A</f>
        <v>1944.4399999999987</v>
      </c>
      <c r="I11" s="209">
        <f>#N/A</f>
        <v>1.1337791629686198</v>
      </c>
      <c r="J11" s="72">
        <f>#N/A</f>
        <v>-33420.86</v>
      </c>
      <c r="K11" s="75">
        <f>#N/A</f>
        <v>0.3302432865731463</v>
      </c>
      <c r="L11" s="72"/>
      <c r="M11" s="72"/>
      <c r="N11" s="72"/>
      <c r="O11" s="72">
        <v>42516.41</v>
      </c>
      <c r="P11" s="72">
        <f>#N/A</f>
        <v>7383.5899999999965</v>
      </c>
      <c r="Q11" s="75">
        <f>#N/A</f>
        <v>1.1736644744934954</v>
      </c>
      <c r="R11" s="74">
        <v>12429.15</v>
      </c>
      <c r="S11" s="74">
        <f>#N/A</f>
        <v>4049.99</v>
      </c>
      <c r="T11" s="145">
        <f>#N/A</f>
        <v>1.3258460956702591</v>
      </c>
      <c r="U11" s="73">
        <f>F11-березень!F11</f>
        <v>3780</v>
      </c>
      <c r="V11" s="98">
        <f>G11-березень!G11</f>
        <v>4455.949999999999</v>
      </c>
      <c r="W11" s="74">
        <f>#N/A</f>
        <v>675.9499999999989</v>
      </c>
      <c r="X11" s="75">
        <f>#N/A</f>
        <v>1.178822751322751</v>
      </c>
      <c r="Y11" s="198">
        <f>#N/A</f>
        <v>0.1521816211767637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3144.41</v>
      </c>
      <c r="G12" s="94">
        <v>3989.53</v>
      </c>
      <c r="H12" s="71">
        <f>#N/A</f>
        <v>845.1200000000003</v>
      </c>
      <c r="I12" s="209">
        <f>#N/A</f>
        <v>1.2687690218514762</v>
      </c>
      <c r="J12" s="72">
        <f>#N/A</f>
        <v>-8010.469999999999</v>
      </c>
      <c r="K12" s="75">
        <f>#N/A</f>
        <v>0.33246083333333337</v>
      </c>
      <c r="L12" s="72"/>
      <c r="M12" s="72"/>
      <c r="N12" s="72"/>
      <c r="O12" s="72">
        <v>11992.15</v>
      </c>
      <c r="P12" s="72">
        <f>#N/A</f>
        <v>7.850000000000364</v>
      </c>
      <c r="Q12" s="75">
        <f>#N/A</f>
        <v>1.0006545948808179</v>
      </c>
      <c r="R12" s="74">
        <v>2609.59</v>
      </c>
      <c r="S12" s="74">
        <f>#N/A</f>
        <v>1379.94</v>
      </c>
      <c r="T12" s="145">
        <f>#N/A</f>
        <v>1.5287957112036756</v>
      </c>
      <c r="U12" s="73">
        <f>F12-березень!F12</f>
        <v>850.0009999999997</v>
      </c>
      <c r="V12" s="98">
        <f>G12-березень!G12</f>
        <v>710.3800000000001</v>
      </c>
      <c r="W12" s="74">
        <f>#N/A</f>
        <v>-139.62099999999964</v>
      </c>
      <c r="X12" s="75">
        <f>#N/A</f>
        <v>0.8357401932468318</v>
      </c>
      <c r="Y12" s="198">
        <f>#N/A</f>
        <v>0.5281411163228578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3613.7</v>
      </c>
      <c r="G13" s="94">
        <v>4976.84</v>
      </c>
      <c r="H13" s="71">
        <f>#N/A</f>
        <v>1363.1400000000003</v>
      </c>
      <c r="I13" s="209">
        <f>#N/A</f>
        <v>1.377214489304591</v>
      </c>
      <c r="J13" s="72">
        <f>#N/A</f>
        <v>-7023.16</v>
      </c>
      <c r="K13" s="75">
        <f>#N/A</f>
        <v>0.4147366666666667</v>
      </c>
      <c r="L13" s="72"/>
      <c r="M13" s="72"/>
      <c r="N13" s="72"/>
      <c r="O13" s="72">
        <v>10036.81</v>
      </c>
      <c r="P13" s="72">
        <f>#N/A</f>
        <v>1963.1900000000005</v>
      </c>
      <c r="Q13" s="75">
        <f>#N/A</f>
        <v>1.195599000080703</v>
      </c>
      <c r="R13" s="74">
        <v>3209.33</v>
      </c>
      <c r="S13" s="74">
        <f>#N/A</f>
        <v>1767.5100000000002</v>
      </c>
      <c r="T13" s="145">
        <f>#N/A</f>
        <v>1.5507411204207733</v>
      </c>
      <c r="U13" s="73">
        <f>F13-березень!F13</f>
        <v>556.7999999999997</v>
      </c>
      <c r="V13" s="98">
        <f>G13-березень!G13</f>
        <v>1626.1600000000003</v>
      </c>
      <c r="W13" s="74">
        <f>#N/A</f>
        <v>1069.3600000000006</v>
      </c>
      <c r="X13" s="75">
        <f>#N/A</f>
        <v>2.9205459770114963</v>
      </c>
      <c r="Y13" s="198">
        <f>#N/A</f>
        <v>0.3551421203400702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244.63</v>
      </c>
      <c r="G14" s="94">
        <v>307.62</v>
      </c>
      <c r="H14" s="71">
        <f>#N/A</f>
        <v>62.99000000000001</v>
      </c>
      <c r="I14" s="209">
        <f>#N/A</f>
        <v>1.2574909046314844</v>
      </c>
      <c r="J14" s="72">
        <f>#N/A</f>
        <v>-192.38</v>
      </c>
      <c r="K14" s="75">
        <f>#N/A</f>
        <v>0.61524</v>
      </c>
      <c r="L14" s="72"/>
      <c r="M14" s="72"/>
      <c r="N14" s="72"/>
      <c r="O14" s="72">
        <v>1376.68</v>
      </c>
      <c r="P14" s="72">
        <f>#N/A</f>
        <v>-876.6800000000001</v>
      </c>
      <c r="Q14" s="75">
        <f>#N/A</f>
        <v>0.36319260830403577</v>
      </c>
      <c r="R14" s="74">
        <v>482.17</v>
      </c>
      <c r="S14" s="74">
        <f>#N/A</f>
        <v>-174.55</v>
      </c>
      <c r="T14" s="145">
        <f>#N/A</f>
        <v>0.6379907501503619</v>
      </c>
      <c r="U14" s="73">
        <f>F14-березень!F14</f>
        <v>33</v>
      </c>
      <c r="V14" s="98">
        <f>G14-березень!G14</f>
        <v>0</v>
      </c>
      <c r="W14" s="74">
        <f>#N/A</f>
        <v>-33</v>
      </c>
      <c r="X14" s="75">
        <f>#N/A</f>
        <v>0</v>
      </c>
      <c r="Y14" s="198">
        <f>#N/A</f>
        <v>0.2747981418463261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65</v>
      </c>
      <c r="G15" s="106">
        <v>337.68</v>
      </c>
      <c r="H15" s="102">
        <f>#N/A</f>
        <v>272.68</v>
      </c>
      <c r="I15" s="208">
        <f>#N/A</f>
        <v>5.195076923076924</v>
      </c>
      <c r="J15" s="108">
        <f>#N/A</f>
        <v>-562.3199999999999</v>
      </c>
      <c r="K15" s="108">
        <f>#N/A</f>
        <v>37.52</v>
      </c>
      <c r="L15" s="108"/>
      <c r="M15" s="108"/>
      <c r="N15" s="108"/>
      <c r="O15" s="108">
        <v>887.61</v>
      </c>
      <c r="P15" s="108">
        <f>#N/A</f>
        <v>12.389999999999986</v>
      </c>
      <c r="Q15" s="148">
        <f>#N/A</f>
        <v>1.0139588332713692</v>
      </c>
      <c r="R15" s="111">
        <v>-316.36</v>
      </c>
      <c r="S15" s="111">
        <f>#N/A</f>
        <v>654.04</v>
      </c>
      <c r="T15" s="146">
        <f>#N/A</f>
        <v>-1.0673915792135542</v>
      </c>
      <c r="U15" s="107">
        <f>F15-березень!F15</f>
        <v>5</v>
      </c>
      <c r="V15" s="110">
        <f>G15-березень!G15</f>
        <v>0.060000000000002274</v>
      </c>
      <c r="W15" s="111">
        <f>#N/A</f>
        <v>-4.939999999999998</v>
      </c>
      <c r="X15" s="148">
        <f>#N/A</f>
        <v>0.012000000000000455</v>
      </c>
      <c r="Y15" s="197">
        <f>#N/A</f>
        <v>-2.081350412484923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>#N/A</f>
        <v>0</v>
      </c>
      <c r="I16" s="208" t="e">
        <f>G16/F16/100</f>
        <v>#DIV/0!</v>
      </c>
      <c r="J16" s="108">
        <f>#N/A</f>
        <v>0</v>
      </c>
      <c r="K16" s="108" t="e">
        <f>#N/A</f>
        <v>#DIV/0!</v>
      </c>
      <c r="L16" s="108"/>
      <c r="M16" s="108"/>
      <c r="N16" s="108"/>
      <c r="O16" s="108"/>
      <c r="P16" s="108">
        <f>#N/A</f>
        <v>0</v>
      </c>
      <c r="Q16" s="148" t="e">
        <f>#N/A</f>
        <v>#DIV/0!</v>
      </c>
      <c r="R16" s="111">
        <f>O16</f>
        <v>0</v>
      </c>
      <c r="S16" s="111">
        <f>#N/A</f>
        <v>0</v>
      </c>
      <c r="T16" s="146" t="e">
        <f>#N/A</f>
        <v>#DIV/0!</v>
      </c>
      <c r="U16" s="107">
        <f>F16-березень!F16</f>
        <v>0</v>
      </c>
      <c r="V16" s="110">
        <f>G16-березень!G16</f>
        <v>0</v>
      </c>
      <c r="W16" s="111">
        <f>#N/A</f>
        <v>0</v>
      </c>
      <c r="X16" s="148" t="e">
        <f>V16/U16*100</f>
        <v>#DIV/0!</v>
      </c>
      <c r="Y16" s="197" t="e">
        <f>#N/A</f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>#N/A</f>
        <v>0</v>
      </c>
      <c r="I17" s="208"/>
      <c r="J17" s="108">
        <f>#N/A</f>
        <v>0</v>
      </c>
      <c r="K17" s="108"/>
      <c r="L17" s="108"/>
      <c r="M17" s="108"/>
      <c r="N17" s="108"/>
      <c r="O17" s="108">
        <v>0.49</v>
      </c>
      <c r="P17" s="108">
        <f>#N/A</f>
        <v>-0.49</v>
      </c>
      <c r="Q17" s="148">
        <f>#N/A</f>
        <v>0</v>
      </c>
      <c r="R17" s="111">
        <v>0</v>
      </c>
      <c r="S17" s="111">
        <f>#N/A</f>
        <v>0</v>
      </c>
      <c r="T17" s="146" t="e">
        <f>#N/A</f>
        <v>#DIV/0!</v>
      </c>
      <c r="U17" s="107">
        <f>F17-березень!F17</f>
        <v>0</v>
      </c>
      <c r="V17" s="110">
        <f>G17-березень!G17</f>
        <v>0</v>
      </c>
      <c r="W17" s="111">
        <f>#N/A</f>
        <v>0</v>
      </c>
      <c r="X17" s="148"/>
      <c r="Y17" s="197" t="e">
        <f>#N/A</f>
        <v>#DIV/0!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120</v>
      </c>
      <c r="G18" s="106">
        <v>194.24</v>
      </c>
      <c r="H18" s="102">
        <f>#N/A</f>
        <v>74.24000000000001</v>
      </c>
      <c r="I18" s="208">
        <f>#N/A</f>
        <v>1.6186666666666667</v>
      </c>
      <c r="J18" s="108">
        <f>#N/A</f>
        <v>-41.359999999999985</v>
      </c>
      <c r="K18" s="108">
        <f>#N/A</f>
        <v>82.44482173174873</v>
      </c>
      <c r="L18" s="108"/>
      <c r="M18" s="108"/>
      <c r="N18" s="108"/>
      <c r="O18" s="108">
        <v>220.59</v>
      </c>
      <c r="P18" s="108">
        <f>#N/A</f>
        <v>15.009999999999991</v>
      </c>
      <c r="Q18" s="148">
        <f>#N/A</f>
        <v>1.0680447889750215</v>
      </c>
      <c r="R18" s="111">
        <v>118.46</v>
      </c>
      <c r="S18" s="111">
        <f>#N/A</f>
        <v>75.78000000000002</v>
      </c>
      <c r="T18" s="146">
        <f>#N/A</f>
        <v>1.639709606618268</v>
      </c>
      <c r="U18" s="107">
        <f>F18-березень!F18</f>
        <v>0</v>
      </c>
      <c r="V18" s="110">
        <f>G18-березень!G18</f>
        <v>0</v>
      </c>
      <c r="W18" s="111">
        <f>#N/A</f>
        <v>0</v>
      </c>
      <c r="X18" s="148" t="e">
        <f>#N/A</f>
        <v>#DIV/0!</v>
      </c>
      <c r="Y18" s="197">
        <f>#N/A</f>
        <v>0.5716648176432464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v>44990</v>
      </c>
      <c r="G19" s="158">
        <v>37075.22</v>
      </c>
      <c r="H19" s="102">
        <f>#N/A</f>
        <v>-7914.779999999999</v>
      </c>
      <c r="I19" s="208">
        <f>#N/A</f>
        <v>0.8240769059791065</v>
      </c>
      <c r="J19" s="108">
        <f>#N/A</f>
        <v>-114652.78</v>
      </c>
      <c r="K19" s="108">
        <f>#N/A</f>
        <v>24.4353184646209</v>
      </c>
      <c r="L19" s="108"/>
      <c r="M19" s="108"/>
      <c r="N19" s="108"/>
      <c r="O19" s="108">
        <v>121950.14</v>
      </c>
      <c r="P19" s="108">
        <f>#N/A</f>
        <v>29777.86</v>
      </c>
      <c r="Q19" s="148">
        <f>#N/A</f>
        <v>1.2441806134867905</v>
      </c>
      <c r="R19" s="111">
        <v>36104.76</v>
      </c>
      <c r="S19" s="111">
        <f>#N/A</f>
        <v>970.4599999999991</v>
      </c>
      <c r="T19" s="146">
        <f>#N/A</f>
        <v>1.026879004319652</v>
      </c>
      <c r="U19" s="107">
        <f>F19-березень!F19</f>
        <v>11375</v>
      </c>
      <c r="V19" s="110">
        <f>G19-березень!G19</f>
        <v>9469.64</v>
      </c>
      <c r="W19" s="111">
        <f>#N/A</f>
        <v>-1905.3600000000006</v>
      </c>
      <c r="X19" s="148">
        <f>#N/A</f>
        <v>0.8324958241758241</v>
      </c>
      <c r="Y19" s="197">
        <f>#N/A</f>
        <v>-0.21730160916713848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17690</v>
      </c>
      <c r="G20" s="141">
        <v>16783.77</v>
      </c>
      <c r="H20" s="170">
        <f>#N/A</f>
        <v>-906.2299999999996</v>
      </c>
      <c r="I20" s="211">
        <f>#N/A</f>
        <v>0.9487716223855286</v>
      </c>
      <c r="J20" s="171">
        <f>#N/A</f>
        <v>-49924.229999999996</v>
      </c>
      <c r="K20" s="171">
        <f>#N/A</f>
        <v>25.160055765425437</v>
      </c>
      <c r="L20" s="171"/>
      <c r="M20" s="171"/>
      <c r="N20" s="171"/>
      <c r="O20" s="171">
        <v>60736.45</v>
      </c>
      <c r="P20" s="171">
        <f>#N/A</f>
        <v>5971.550000000003</v>
      </c>
      <c r="Q20" s="180">
        <f>#N/A</f>
        <v>1.098319048940134</v>
      </c>
      <c r="R20" s="116">
        <v>21979.58</v>
      </c>
      <c r="S20" s="116">
        <f>#N/A</f>
        <v>-5195.810000000001</v>
      </c>
      <c r="T20" s="172">
        <f>#N/A</f>
        <v>0.7636074028712104</v>
      </c>
      <c r="U20" s="136">
        <f>F20-березень!F20</f>
        <v>4475</v>
      </c>
      <c r="V20" s="124">
        <f>G20-березень!G20</f>
        <v>4145.4</v>
      </c>
      <c r="W20" s="116">
        <f>#N/A</f>
        <v>-329.60000000000036</v>
      </c>
      <c r="X20" s="180">
        <f>#N/A</f>
        <v>0.9263463687150837</v>
      </c>
      <c r="Y20" s="197">
        <f>#N/A</f>
        <v>-0.33471164606892356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5200</v>
      </c>
      <c r="G21" s="141">
        <v>4667.89</v>
      </c>
      <c r="H21" s="170">
        <f>#N/A</f>
        <v>-532.1099999999997</v>
      </c>
      <c r="I21" s="211">
        <f>#N/A</f>
        <v>0.8976711538461539</v>
      </c>
      <c r="J21" s="171">
        <f>#N/A</f>
        <v>-11028.11</v>
      </c>
      <c r="K21" s="171">
        <f>#N/A</f>
        <v>29.73936034658512</v>
      </c>
      <c r="L21" s="171"/>
      <c r="M21" s="171"/>
      <c r="N21" s="171"/>
      <c r="O21" s="171">
        <v>12528.71</v>
      </c>
      <c r="P21" s="171">
        <f>#N/A</f>
        <v>3167.290000000001</v>
      </c>
      <c r="Q21" s="180">
        <f>#N/A</f>
        <v>1.2528025630731336</v>
      </c>
      <c r="R21" s="116">
        <v>3118.94</v>
      </c>
      <c r="S21" s="116">
        <f>#N/A</f>
        <v>1548.9500000000003</v>
      </c>
      <c r="T21" s="172">
        <f>#N/A</f>
        <v>1.4966270591931876</v>
      </c>
      <c r="U21" s="136">
        <f>F21-березень!F21</f>
        <v>1300</v>
      </c>
      <c r="V21" s="124">
        <f>G21-березень!G21</f>
        <v>1155.0300000000002</v>
      </c>
      <c r="W21" s="116">
        <f>#N/A</f>
        <v>-144.9699999999998</v>
      </c>
      <c r="X21" s="180">
        <f>#N/A</f>
        <v>0.8884846153846155</v>
      </c>
      <c r="Y21" s="197">
        <f>#N/A</f>
        <v>0.24382449612005397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22100</v>
      </c>
      <c r="G22" s="141">
        <v>15623.55</v>
      </c>
      <c r="H22" s="170">
        <f>#N/A</f>
        <v>-6476.450000000001</v>
      </c>
      <c r="I22" s="211">
        <f>#N/A</f>
        <v>0.706947963800905</v>
      </c>
      <c r="J22" s="171">
        <f>#N/A</f>
        <v>-53700.45</v>
      </c>
      <c r="K22" s="171">
        <f>#N/A</f>
        <v>22.537000173100225</v>
      </c>
      <c r="L22" s="171"/>
      <c r="M22" s="171"/>
      <c r="N22" s="171"/>
      <c r="O22" s="171">
        <v>48684.98</v>
      </c>
      <c r="P22" s="171">
        <f>#N/A</f>
        <v>20639.019999999997</v>
      </c>
      <c r="Q22" s="180">
        <f>#N/A</f>
        <v>1.4239299266426728</v>
      </c>
      <c r="R22" s="116">
        <v>11006.24</v>
      </c>
      <c r="S22" s="116">
        <f>#N/A</f>
        <v>4617.3099999999995</v>
      </c>
      <c r="T22" s="172">
        <f>#N/A</f>
        <v>1.4195174737239966</v>
      </c>
      <c r="U22" s="136">
        <f>F22-березень!F22</f>
        <v>5600</v>
      </c>
      <c r="V22" s="124">
        <f>G22-березень!G22</f>
        <v>4169.199999999999</v>
      </c>
      <c r="W22" s="116">
        <f>#N/A</f>
        <v>-1430.800000000001</v>
      </c>
      <c r="X22" s="180">
        <f>#N/A</f>
        <v>0.7444999999999998</v>
      </c>
      <c r="Y22" s="197">
        <f>#N/A</f>
        <v>-0.004412452918676202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158997.2</v>
      </c>
      <c r="G23" s="158">
        <v>162741.17</v>
      </c>
      <c r="H23" s="102">
        <f>#N/A</f>
        <v>3743.970000000001</v>
      </c>
      <c r="I23" s="208">
        <f>#N/A</f>
        <v>1.0235473958031966</v>
      </c>
      <c r="J23" s="108">
        <f>#N/A</f>
        <v>-308826.0299999999</v>
      </c>
      <c r="K23" s="108">
        <f>#N/A</f>
        <v>34.51070600330134</v>
      </c>
      <c r="L23" s="108"/>
      <c r="M23" s="108"/>
      <c r="N23" s="108"/>
      <c r="O23" s="108">
        <v>430705.5</v>
      </c>
      <c r="P23" s="108">
        <f>#N/A</f>
        <v>40861.69999999995</v>
      </c>
      <c r="Q23" s="148">
        <f>#N/A</f>
        <v>1.0948715537646954</v>
      </c>
      <c r="R23" s="108">
        <v>141309.29</v>
      </c>
      <c r="S23" s="111">
        <f>#N/A</f>
        <v>21431.880000000005</v>
      </c>
      <c r="T23" s="147">
        <f>#N/A</f>
        <v>1.15166646156102</v>
      </c>
      <c r="U23" s="107">
        <f>F23-березень!F23</f>
        <v>40445.600000000006</v>
      </c>
      <c r="V23" s="110">
        <f>G23-березень!G23</f>
        <v>42556.04000000001</v>
      </c>
      <c r="W23" s="111">
        <f>#N/A</f>
        <v>2110.4400000000023</v>
      </c>
      <c r="X23" s="148">
        <f>#N/A</f>
        <v>1.0521797179421248</v>
      </c>
      <c r="Y23" s="197">
        <f>T23-Q23</f>
        <v>0.05679490779632457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69790.01000000001</v>
      </c>
      <c r="G24" s="158">
        <f>G25+G32+G35</f>
        <v>71359.86</v>
      </c>
      <c r="H24" s="102">
        <f>#N/A</f>
        <v>1569.8499999999913</v>
      </c>
      <c r="I24" s="208">
        <f>#N/A</f>
        <v>1.022493907079251</v>
      </c>
      <c r="J24" s="108">
        <f>#N/A</f>
        <v>-145482.14</v>
      </c>
      <c r="K24" s="148">
        <f>#N/A</f>
        <v>0.3290868927606276</v>
      </c>
      <c r="L24" s="108"/>
      <c r="M24" s="108"/>
      <c r="N24" s="108"/>
      <c r="O24" s="108">
        <v>207231.03</v>
      </c>
      <c r="P24" s="108">
        <f>#N/A</f>
        <v>9610.970000000001</v>
      </c>
      <c r="Q24" s="148">
        <f>#N/A</f>
        <v>1.0463780448323787</v>
      </c>
      <c r="R24" s="108">
        <v>67677</v>
      </c>
      <c r="S24" s="111">
        <f>#N/A</f>
        <v>3682.8600000000006</v>
      </c>
      <c r="T24" s="147">
        <f>#N/A</f>
        <v>1.0544181922957578</v>
      </c>
      <c r="U24" s="107">
        <f>F24-березень!F24</f>
        <v>19921.000000000015</v>
      </c>
      <c r="V24" s="110">
        <f>G24-березень!G24</f>
        <v>20292.840000000004</v>
      </c>
      <c r="W24" s="111">
        <f>#N/A</f>
        <v>371.83999999998923</v>
      </c>
      <c r="X24" s="148">
        <f>#N/A</f>
        <v>1.018665729632046</v>
      </c>
      <c r="Y24" s="197">
        <f>#N/A</f>
        <v>0.00804014746337911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11236.5</v>
      </c>
      <c r="G25" s="141">
        <v>12567.11</v>
      </c>
      <c r="H25" s="170">
        <f>#N/A</f>
        <v>1330.6100000000006</v>
      </c>
      <c r="I25" s="211">
        <f>#N/A</f>
        <v>1.118418546700485</v>
      </c>
      <c r="J25" s="171">
        <f>#N/A</f>
        <v>-16216.89</v>
      </c>
      <c r="K25" s="180">
        <f>#N/A</f>
        <v>0.4366005419677599</v>
      </c>
      <c r="L25" s="171"/>
      <c r="M25" s="171"/>
      <c r="N25" s="171"/>
      <c r="O25" s="171">
        <v>25414.16</v>
      </c>
      <c r="P25" s="171">
        <f>#N/A</f>
        <v>3369.84</v>
      </c>
      <c r="Q25" s="180">
        <f>#N/A</f>
        <v>1.1325969459545386</v>
      </c>
      <c r="R25" s="179">
        <v>9746.31</v>
      </c>
      <c r="S25" s="116">
        <f>#N/A</f>
        <v>2820.800000000001</v>
      </c>
      <c r="T25" s="152">
        <f>#N/A</f>
        <v>1.2894223557428401</v>
      </c>
      <c r="U25" s="136">
        <f>F25-березень!F25</f>
        <v>4879</v>
      </c>
      <c r="V25" s="124">
        <f>G25-березень!G25</f>
        <v>5625.360000000001</v>
      </c>
      <c r="W25" s="116">
        <f>#N/A</f>
        <v>746.3600000000006</v>
      </c>
      <c r="X25" s="180">
        <f>#N/A</f>
        <v>1.1529739700758352</v>
      </c>
      <c r="Y25" s="197">
        <f>#N/A</f>
        <v>0.1568254097883015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280.61</v>
      </c>
      <c r="G26" s="139">
        <f>G28+G29</f>
        <v>698.29</v>
      </c>
      <c r="H26" s="158">
        <f>#N/A</f>
        <v>417.67999999999995</v>
      </c>
      <c r="I26" s="212">
        <f>#N/A</f>
        <v>2.4884715441359893</v>
      </c>
      <c r="J26" s="176">
        <f>#N/A</f>
        <v>-823.71</v>
      </c>
      <c r="K26" s="191">
        <f>#N/A</f>
        <v>0.4587976346911958</v>
      </c>
      <c r="L26" s="176"/>
      <c r="M26" s="176"/>
      <c r="N26" s="176"/>
      <c r="O26" s="176">
        <f>O28+O29</f>
        <v>1512.89</v>
      </c>
      <c r="P26" s="176">
        <f>#N/A</f>
        <v>9.1099999999999</v>
      </c>
      <c r="Q26" s="191">
        <f>#N/A</f>
        <v>1.006021587821983</v>
      </c>
      <c r="R26" s="140">
        <f>R28+R29</f>
        <v>200.24</v>
      </c>
      <c r="S26" s="201">
        <f>#N/A</f>
        <v>498.04999999999995</v>
      </c>
      <c r="T26" s="162">
        <f>#N/A</f>
        <v>3.487265281662005</v>
      </c>
      <c r="U26" s="167">
        <f>F26-березень!F26</f>
        <v>69</v>
      </c>
      <c r="V26" s="167">
        <f>G26-березень!G26</f>
        <v>186.72999999999996</v>
      </c>
      <c r="W26" s="176">
        <f>#N/A</f>
        <v>117.72999999999996</v>
      </c>
      <c r="X26" s="191">
        <f>#N/A</f>
        <v>2.7062318840579707</v>
      </c>
      <c r="Y26" s="197">
        <f>#N/A</f>
        <v>2.481243693840022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10955.89</v>
      </c>
      <c r="G27" s="139">
        <f>G30+G31</f>
        <v>11868.82</v>
      </c>
      <c r="H27" s="158">
        <f>#N/A</f>
        <v>912.9300000000003</v>
      </c>
      <c r="I27" s="212">
        <f>#N/A</f>
        <v>1.083327780764502</v>
      </c>
      <c r="J27" s="176">
        <f>#N/A</f>
        <v>-15393.18</v>
      </c>
      <c r="K27" s="191">
        <f>#N/A</f>
        <v>0.435361308781454</v>
      </c>
      <c r="L27" s="176"/>
      <c r="M27" s="176"/>
      <c r="N27" s="176"/>
      <c r="O27" s="176">
        <f>O30+O31</f>
        <v>23901.28</v>
      </c>
      <c r="P27" s="176">
        <f>#N/A</f>
        <v>3360.720000000001</v>
      </c>
      <c r="Q27" s="191">
        <f>#N/A</f>
        <v>1.1406083690915299</v>
      </c>
      <c r="R27" s="140">
        <f>R30+R31</f>
        <v>9546.07</v>
      </c>
      <c r="S27" s="201">
        <f>#N/A</f>
        <v>2322.75</v>
      </c>
      <c r="T27" s="162">
        <f>#N/A</f>
        <v>1.2433200259373753</v>
      </c>
      <c r="U27" s="167">
        <f>F27-березень!F27</f>
        <v>4809.999999999999</v>
      </c>
      <c r="V27" s="167">
        <f>G27-березень!G27</f>
        <v>5438.63</v>
      </c>
      <c r="W27" s="176">
        <f>#N/A</f>
        <v>628.630000000001</v>
      </c>
      <c r="X27" s="191">
        <f>#N/A</f>
        <v>1.1306923076923079</v>
      </c>
      <c r="Y27" s="197">
        <f>#N/A</f>
        <v>0.10271165684584549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132.8</v>
      </c>
      <c r="G28" s="206">
        <v>167.89</v>
      </c>
      <c r="H28" s="218">
        <f>#N/A</f>
        <v>35.089999999999975</v>
      </c>
      <c r="I28" s="220">
        <f>#N/A</f>
        <v>1.2642319277108431</v>
      </c>
      <c r="J28" s="221">
        <f>#N/A</f>
        <v>-148.11</v>
      </c>
      <c r="K28" s="222">
        <f>#N/A</f>
        <v>0.5312974683544304</v>
      </c>
      <c r="L28" s="176"/>
      <c r="M28" s="176"/>
      <c r="N28" s="176"/>
      <c r="O28" s="221">
        <v>275.91</v>
      </c>
      <c r="P28" s="221">
        <f>#N/A</f>
        <v>40.089999999999975</v>
      </c>
      <c r="Q28" s="222">
        <f>#N/A</f>
        <v>1.1453010039505636</v>
      </c>
      <c r="R28" s="221">
        <v>169.07</v>
      </c>
      <c r="S28" s="221">
        <f>#N/A</f>
        <v>-1.1800000000000068</v>
      </c>
      <c r="T28" s="222">
        <f>#N/A</f>
        <v>0.9930206423374933</v>
      </c>
      <c r="U28" s="206">
        <f>F28-березень!F28</f>
        <v>65.00000000000001</v>
      </c>
      <c r="V28" s="206">
        <f>G28-березень!G28</f>
        <v>86.32</v>
      </c>
      <c r="W28" s="221">
        <f>#N/A</f>
        <v>21.31999999999998</v>
      </c>
      <c r="X28" s="222">
        <f>#N/A</f>
        <v>1.3279999999999996</v>
      </c>
      <c r="Y28" s="465">
        <f>#N/A</f>
        <v>-0.15228036161307024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147.81</v>
      </c>
      <c r="G29" s="206">
        <v>530.4</v>
      </c>
      <c r="H29" s="218">
        <f>#N/A</f>
        <v>382.59</v>
      </c>
      <c r="I29" s="220">
        <f>#N/A</f>
        <v>3.588390501319261</v>
      </c>
      <c r="J29" s="221">
        <f>#N/A</f>
        <v>-675.6</v>
      </c>
      <c r="K29" s="222">
        <f>#N/A</f>
        <v>0.43980099502487563</v>
      </c>
      <c r="L29" s="176"/>
      <c r="M29" s="176"/>
      <c r="N29" s="176"/>
      <c r="O29" s="221">
        <v>1236.98</v>
      </c>
      <c r="P29" s="221">
        <f>#N/A</f>
        <v>-30.980000000000018</v>
      </c>
      <c r="Q29" s="222">
        <f>#N/A</f>
        <v>0.9749551326618053</v>
      </c>
      <c r="R29" s="221">
        <v>31.17</v>
      </c>
      <c r="S29" s="221">
        <f>#N/A</f>
        <v>499.22999999999996</v>
      </c>
      <c r="T29" s="222">
        <f>#N/A</f>
        <v>17.01636188642926</v>
      </c>
      <c r="U29" s="206">
        <f>F29-березень!F29</f>
        <v>4</v>
      </c>
      <c r="V29" s="206">
        <f>G29-березень!G29</f>
        <v>100.40999999999997</v>
      </c>
      <c r="W29" s="221">
        <f>#N/A</f>
        <v>96.40999999999997</v>
      </c>
      <c r="X29" s="222">
        <f>#N/A</f>
        <v>25.102499999999992</v>
      </c>
      <c r="Y29" s="465">
        <f>#N/A</f>
        <v>16.041406753767454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330.09</v>
      </c>
      <c r="G30" s="206">
        <v>602.72</v>
      </c>
      <c r="H30" s="218">
        <f>#N/A</f>
        <v>272.63000000000005</v>
      </c>
      <c r="I30" s="220">
        <f>#N/A</f>
        <v>1.8259262625344606</v>
      </c>
      <c r="J30" s="221">
        <f>#N/A</f>
        <v>-1752.28</v>
      </c>
      <c r="K30" s="222">
        <f>#N/A</f>
        <v>0.25593205944798303</v>
      </c>
      <c r="L30" s="176"/>
      <c r="M30" s="176"/>
      <c r="N30" s="176"/>
      <c r="O30" s="221">
        <v>2220.25</v>
      </c>
      <c r="P30" s="221">
        <f>#N/A</f>
        <v>134.75</v>
      </c>
      <c r="Q30" s="222">
        <f>#N/A</f>
        <v>1.0606913635851818</v>
      </c>
      <c r="R30" s="221">
        <v>71.41</v>
      </c>
      <c r="S30" s="221">
        <f>#N/A</f>
        <v>531.3100000000001</v>
      </c>
      <c r="T30" s="222">
        <f>#N/A</f>
        <v>8.440274471362555</v>
      </c>
      <c r="U30" s="206">
        <f>F30-березень!F30</f>
        <v>10</v>
      </c>
      <c r="V30" s="206">
        <f>G30-березень!G30</f>
        <v>49.76999999999998</v>
      </c>
      <c r="W30" s="221">
        <f>#N/A</f>
        <v>39.76999999999998</v>
      </c>
      <c r="X30" s="222">
        <f>#N/A</f>
        <v>4.9769999999999985</v>
      </c>
      <c r="Y30" s="465">
        <f>#N/A</f>
        <v>7.379583107777373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10625.8</v>
      </c>
      <c r="G31" s="206">
        <v>11266.1</v>
      </c>
      <c r="H31" s="218">
        <f>#N/A</f>
        <v>640.3000000000011</v>
      </c>
      <c r="I31" s="220">
        <f>#N/A</f>
        <v>1.060258992264112</v>
      </c>
      <c r="J31" s="221">
        <f>#N/A</f>
        <v>-13640.9</v>
      </c>
      <c r="K31" s="222">
        <f>#N/A</f>
        <v>0.45232665515718473</v>
      </c>
      <c r="L31" s="176"/>
      <c r="M31" s="176"/>
      <c r="N31" s="176"/>
      <c r="O31" s="221">
        <v>21681.03</v>
      </c>
      <c r="P31" s="221">
        <f>#N/A</f>
        <v>3225.970000000001</v>
      </c>
      <c r="Q31" s="222">
        <f>#N/A</f>
        <v>1.148792285237371</v>
      </c>
      <c r="R31" s="221">
        <v>9474.66</v>
      </c>
      <c r="S31" s="221">
        <f>#N/A</f>
        <v>1791.4400000000005</v>
      </c>
      <c r="T31" s="222">
        <f>#N/A</f>
        <v>1.1890769695165844</v>
      </c>
      <c r="U31" s="206">
        <f>F31-березень!F31</f>
        <v>4799.999999999999</v>
      </c>
      <c r="V31" s="206">
        <f>G31-березень!G31</f>
        <v>5388.860000000001</v>
      </c>
      <c r="W31" s="221"/>
      <c r="X31" s="222">
        <f>#N/A</f>
        <v>1.122679166666667</v>
      </c>
      <c r="Y31" s="465">
        <f>#N/A</f>
        <v>0.04028468427921328</v>
      </c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172.03</v>
      </c>
      <c r="G32" s="120">
        <v>461.23</v>
      </c>
      <c r="H32" s="170">
        <f>#N/A</f>
        <v>289.20000000000005</v>
      </c>
      <c r="I32" s="211">
        <f>#N/A</f>
        <v>2.6811021333488347</v>
      </c>
      <c r="J32" s="171">
        <f>#N/A</f>
        <v>179.23000000000002</v>
      </c>
      <c r="K32" s="180">
        <f>#N/A</f>
        <v>1.6355673758865248</v>
      </c>
      <c r="L32" s="171"/>
      <c r="M32" s="171"/>
      <c r="N32" s="171"/>
      <c r="O32" s="171">
        <v>645.26</v>
      </c>
      <c r="P32" s="171">
        <f>#N/A</f>
        <v>-363.26</v>
      </c>
      <c r="Q32" s="180">
        <f>#N/A</f>
        <v>0.43703313393050863</v>
      </c>
      <c r="R32" s="121">
        <v>104.51</v>
      </c>
      <c r="S32" s="121">
        <f>#N/A</f>
        <v>356.72</v>
      </c>
      <c r="T32" s="150">
        <f>#N/A</f>
        <v>4.413261888814468</v>
      </c>
      <c r="U32" s="136">
        <f>F32-березень!F32</f>
        <v>12</v>
      </c>
      <c r="V32" s="124">
        <f>G32-березень!G32</f>
        <v>116.16000000000003</v>
      </c>
      <c r="W32" s="116">
        <f>#N/A</f>
        <v>104.16000000000003</v>
      </c>
      <c r="X32" s="180">
        <f>#N/A</f>
        <v>9.680000000000001</v>
      </c>
      <c r="Y32" s="198">
        <f>#N/A</f>
        <v>3.976228754883959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121.34</v>
      </c>
      <c r="H33" s="71">
        <f>#N/A</f>
        <v>93.49000000000001</v>
      </c>
      <c r="I33" s="209">
        <f>#N/A</f>
        <v>4.356912028725314</v>
      </c>
      <c r="J33" s="72">
        <f>#N/A</f>
        <v>21.340000000000003</v>
      </c>
      <c r="K33" s="75">
        <f>#N/A</f>
        <v>1.2134</v>
      </c>
      <c r="L33" s="72"/>
      <c r="M33" s="72"/>
      <c r="N33" s="72"/>
      <c r="O33" s="72">
        <v>241.36</v>
      </c>
      <c r="P33" s="72">
        <f>#N/A</f>
        <v>-141.36</v>
      </c>
      <c r="Q33" s="75">
        <f>#N/A</f>
        <v>0.41431885979449784</v>
      </c>
      <c r="R33" s="72">
        <v>-43.4</v>
      </c>
      <c r="S33" s="72">
        <f>#N/A</f>
        <v>164.74</v>
      </c>
      <c r="T33" s="75">
        <f>#N/A</f>
        <v>-2.7958525345622123</v>
      </c>
      <c r="U33" s="73">
        <f>F33-березень!F33</f>
        <v>0</v>
      </c>
      <c r="V33" s="98">
        <f>G33-березень!G33</f>
        <v>0</v>
      </c>
      <c r="W33" s="74">
        <f>#N/A</f>
        <v>0</v>
      </c>
      <c r="X33" s="75" t="e">
        <f>#N/A</f>
        <v>#DIV/0!</v>
      </c>
      <c r="Y33" s="465">
        <f>#N/A</f>
        <v>-3.2101713943567103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144.18</v>
      </c>
      <c r="G34" s="94">
        <v>339.89</v>
      </c>
      <c r="H34" s="71">
        <f>#N/A</f>
        <v>195.70999999999998</v>
      </c>
      <c r="I34" s="209">
        <f>#N/A</f>
        <v>2.357400471632681</v>
      </c>
      <c r="J34" s="72">
        <f>#N/A</f>
        <v>157.89</v>
      </c>
      <c r="K34" s="75">
        <f>#N/A</f>
        <v>1.8675274725274724</v>
      </c>
      <c r="L34" s="72"/>
      <c r="M34" s="72"/>
      <c r="N34" s="72"/>
      <c r="O34" s="72">
        <v>403.91</v>
      </c>
      <c r="P34" s="72">
        <f>#N/A</f>
        <v>-221.91000000000003</v>
      </c>
      <c r="Q34" s="75">
        <f>#N/A</f>
        <v>0.45059542967492755</v>
      </c>
      <c r="R34" s="72">
        <v>147.92</v>
      </c>
      <c r="S34" s="72">
        <f>#N/A</f>
        <v>191.97</v>
      </c>
      <c r="T34" s="75">
        <f>#N/A</f>
        <v>2.2977961060032452</v>
      </c>
      <c r="U34" s="73">
        <f>F34-березень!F34</f>
        <v>12</v>
      </c>
      <c r="V34" s="98">
        <f>G34-березень!G34</f>
        <v>116.16</v>
      </c>
      <c r="W34" s="74"/>
      <c r="X34" s="75">
        <f>#N/A</f>
        <v>9.68</v>
      </c>
      <c r="Y34" s="465">
        <f>#N/A</f>
        <v>1.8472006763283177</v>
      </c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58381.48</v>
      </c>
      <c r="G35" s="120">
        <v>58331.52</v>
      </c>
      <c r="H35" s="102">
        <f>#N/A</f>
        <v>-49.9600000000064</v>
      </c>
      <c r="I35" s="211">
        <f>#N/A</f>
        <v>0.9991442491694282</v>
      </c>
      <c r="J35" s="171">
        <f>#N/A</f>
        <v>-129444.48000000001</v>
      </c>
      <c r="K35" s="180">
        <f>#N/A</f>
        <v>0.3106441717791411</v>
      </c>
      <c r="L35" s="171"/>
      <c r="M35" s="171"/>
      <c r="N35" s="171"/>
      <c r="O35" s="171">
        <v>181171.61</v>
      </c>
      <c r="P35" s="171">
        <f>#N/A</f>
        <v>6604.390000000014</v>
      </c>
      <c r="Q35" s="180">
        <f>#N/A</f>
        <v>1.0364537799272193</v>
      </c>
      <c r="R35" s="122">
        <v>57826.16</v>
      </c>
      <c r="S35" s="122">
        <f>#N/A</f>
        <v>505.3599999999933</v>
      </c>
      <c r="T35" s="149">
        <f>#N/A</f>
        <v>1.0087392972315643</v>
      </c>
      <c r="U35" s="136">
        <f>F35-березень!F35</f>
        <v>15030.000000000007</v>
      </c>
      <c r="V35" s="124">
        <f>G35-березень!G35</f>
        <v>14551.32</v>
      </c>
      <c r="W35" s="116">
        <f>#N/A</f>
        <v>-478.68000000000757</v>
      </c>
      <c r="X35" s="180">
        <f>#N/A</f>
        <v>0.9681516966067859</v>
      </c>
      <c r="Y35" s="198">
        <f>#N/A</f>
        <v>-0.02771448269565502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>#N/A</f>
        <v>60690</v>
      </c>
      <c r="F36" s="139">
        <f>#N/A</f>
        <v>19295.230000000003</v>
      </c>
      <c r="G36" s="139">
        <f>G38+G40</f>
        <v>17995.91</v>
      </c>
      <c r="H36" s="158">
        <f>#N/A</f>
        <v>-1299.3200000000033</v>
      </c>
      <c r="I36" s="212">
        <f>#N/A</f>
        <v>0.9326610773750816</v>
      </c>
      <c r="J36" s="176">
        <f>#N/A</f>
        <v>-42694.09</v>
      </c>
      <c r="K36" s="191">
        <f>#N/A</f>
        <v>0.2965218322623167</v>
      </c>
      <c r="L36" s="176"/>
      <c r="M36" s="176"/>
      <c r="N36" s="176"/>
      <c r="O36" s="176">
        <f>O38+O40</f>
        <v>58608.68</v>
      </c>
      <c r="P36" s="176">
        <f>#N/A</f>
        <v>2081.3199999999997</v>
      </c>
      <c r="Q36" s="191">
        <f>#N/A</f>
        <v>1.0355121459824723</v>
      </c>
      <c r="R36" s="140">
        <f>R38+R40</f>
        <v>19304.539999999997</v>
      </c>
      <c r="S36" s="140">
        <f>#N/A</f>
        <v>-1308.6299999999974</v>
      </c>
      <c r="T36" s="162">
        <f>#N/A</f>
        <v>0.932211282941733</v>
      </c>
      <c r="U36" s="167">
        <f>F36-березень!F36</f>
        <v>4930.000000000004</v>
      </c>
      <c r="V36" s="167">
        <f>G36-березень!G36</f>
        <v>4346.219999999999</v>
      </c>
      <c r="W36" s="176">
        <f>#N/A</f>
        <v>-583.7800000000043</v>
      </c>
      <c r="X36" s="191">
        <f>#N/A</f>
        <v>88.1586206896551</v>
      </c>
      <c r="Y36" s="197">
        <f>#N/A</f>
        <v>-0.10330086304073927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>#N/A</f>
        <v>127086</v>
      </c>
      <c r="F37" s="139">
        <f>#N/A</f>
        <v>39086.25</v>
      </c>
      <c r="G37" s="139">
        <f>#N/A</f>
        <v>40335.61</v>
      </c>
      <c r="H37" s="158">
        <f>#N/A</f>
        <v>1249.3600000000006</v>
      </c>
      <c r="I37" s="212">
        <f>#N/A</f>
        <v>1.0319641817774794</v>
      </c>
      <c r="J37" s="176">
        <f>#N/A</f>
        <v>-86750.39</v>
      </c>
      <c r="K37" s="191">
        <f>#N/A</f>
        <v>0.31738830398312956</v>
      </c>
      <c r="L37" s="176"/>
      <c r="M37" s="176"/>
      <c r="N37" s="176"/>
      <c r="O37" s="176">
        <f>O39+O41</f>
        <v>122562.93000000001</v>
      </c>
      <c r="P37" s="176">
        <f>#N/A</f>
        <v>4523.069999999992</v>
      </c>
      <c r="Q37" s="191">
        <f>#N/A</f>
        <v>1.0369040622641772</v>
      </c>
      <c r="R37" s="140">
        <f>R39+R41</f>
        <v>38521.630000000005</v>
      </c>
      <c r="S37" s="140">
        <f>#N/A</f>
        <v>1813.979999999996</v>
      </c>
      <c r="T37" s="162">
        <f>#N/A</f>
        <v>1.0470899076700544</v>
      </c>
      <c r="U37" s="167">
        <f>F37-березень!F37</f>
        <v>10100</v>
      </c>
      <c r="V37" s="167">
        <f>G37-березень!G37</f>
        <v>10205.100000000002</v>
      </c>
      <c r="W37" s="176">
        <f>#N/A</f>
        <v>105.10000000000218</v>
      </c>
      <c r="X37" s="191">
        <f>V37/U37</f>
        <v>1.0104059405940595</v>
      </c>
      <c r="Y37" s="197">
        <f>#N/A</f>
        <v>0.010185845405877192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18484.4</v>
      </c>
      <c r="G38" s="206">
        <v>17652.61</v>
      </c>
      <c r="H38" s="218">
        <f>#N/A</f>
        <v>-831.7900000000009</v>
      </c>
      <c r="I38" s="220">
        <f>#N/A</f>
        <v>0.9550004327973859</v>
      </c>
      <c r="J38" s="221">
        <f>#N/A</f>
        <v>-39637.39</v>
      </c>
      <c r="K38" s="222">
        <f>#N/A</f>
        <v>0.30812724733810437</v>
      </c>
      <c r="L38" s="176"/>
      <c r="M38" s="176"/>
      <c r="N38" s="176"/>
      <c r="O38" s="221">
        <v>55246.24</v>
      </c>
      <c r="P38" s="221">
        <f>#N/A</f>
        <v>2043.760000000002</v>
      </c>
      <c r="Q38" s="222">
        <f>#N/A</f>
        <v>1.0369936487985427</v>
      </c>
      <c r="R38" s="221">
        <v>18921.87</v>
      </c>
      <c r="S38" s="221">
        <f>#N/A</f>
        <v>-1269.2599999999984</v>
      </c>
      <c r="T38" s="222">
        <f>#N/A</f>
        <v>0.932921006221901</v>
      </c>
      <c r="U38" s="206">
        <f>F38-березень!F38</f>
        <v>4700.000000000002</v>
      </c>
      <c r="V38" s="206">
        <f>G38-березень!G38</f>
        <v>4269.040000000001</v>
      </c>
      <c r="W38" s="221">
        <f>#N/A</f>
        <v>-430.96000000000095</v>
      </c>
      <c r="X38" s="222">
        <f>#N/A</f>
        <v>90.83063829787233</v>
      </c>
      <c r="Y38" s="465">
        <f>#N/A</f>
        <v>-0.10407264257664173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32993.45</v>
      </c>
      <c r="G39" s="206">
        <v>33907.28</v>
      </c>
      <c r="H39" s="218">
        <f>#N/A</f>
        <v>913.8300000000017</v>
      </c>
      <c r="I39" s="220">
        <f>#N/A</f>
        <v>1.0276973156793243</v>
      </c>
      <c r="J39" s="221">
        <f>#N/A</f>
        <v>-72078.72</v>
      </c>
      <c r="K39" s="222">
        <f>#N/A</f>
        <v>0.31992225388258827</v>
      </c>
      <c r="L39" s="176"/>
      <c r="M39" s="176"/>
      <c r="N39" s="176"/>
      <c r="O39" s="221">
        <v>102196.35</v>
      </c>
      <c r="P39" s="221">
        <f>#N/A</f>
        <v>3789.649999999994</v>
      </c>
      <c r="Q39" s="222">
        <f>#N/A</f>
        <v>1.0370820484293226</v>
      </c>
      <c r="R39" s="221">
        <v>32285.88</v>
      </c>
      <c r="S39" s="221">
        <f>#N/A</f>
        <v>1621.3999999999978</v>
      </c>
      <c r="T39" s="222">
        <f>#N/A</f>
        <v>1.0502200962154353</v>
      </c>
      <c r="U39" s="206">
        <f>F39-березень!F39</f>
        <v>8599.999999999996</v>
      </c>
      <c r="V39" s="206">
        <f>G39-березень!G39</f>
        <v>8702.57</v>
      </c>
      <c r="W39" s="221">
        <f>#N/A</f>
        <v>102.57000000000335</v>
      </c>
      <c r="X39" s="222">
        <f>#N/A</f>
        <v>101.1926744186047</v>
      </c>
      <c r="Y39" s="465">
        <f>#N/A</f>
        <v>0.013138047786112717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810.83</v>
      </c>
      <c r="G40" s="206">
        <v>343.3</v>
      </c>
      <c r="H40" s="218">
        <f>#N/A</f>
        <v>-467.53000000000003</v>
      </c>
      <c r="I40" s="220">
        <f>#N/A</f>
        <v>0.42339331302492506</v>
      </c>
      <c r="J40" s="221">
        <f>#N/A</f>
        <v>-3056.7</v>
      </c>
      <c r="K40" s="222">
        <f>#N/A</f>
        <v>0.10097058823529412</v>
      </c>
      <c r="L40" s="176"/>
      <c r="M40" s="176"/>
      <c r="N40" s="176"/>
      <c r="O40" s="221">
        <v>3362.44</v>
      </c>
      <c r="P40" s="221">
        <f>#N/A</f>
        <v>37.559999999999945</v>
      </c>
      <c r="Q40" s="222">
        <f>#N/A</f>
        <v>1.0111704595472335</v>
      </c>
      <c r="R40" s="221">
        <v>382.67</v>
      </c>
      <c r="S40" s="221">
        <f>#N/A</f>
        <v>-39.370000000000005</v>
      </c>
      <c r="T40" s="222">
        <f>#N/A</f>
        <v>0.8971176209266469</v>
      </c>
      <c r="U40" s="206">
        <f>F40-березень!F40</f>
        <v>230</v>
      </c>
      <c r="V40" s="206">
        <f>G40-березень!G40</f>
        <v>77.18</v>
      </c>
      <c r="W40" s="221">
        <f>#N/A</f>
        <v>-152.82</v>
      </c>
      <c r="X40" s="222">
        <f>#N/A</f>
        <v>33.55652173913044</v>
      </c>
      <c r="Y40" s="465">
        <f>#N/A</f>
        <v>-0.11405283862058657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6092.8</v>
      </c>
      <c r="G41" s="206">
        <v>6428.33</v>
      </c>
      <c r="H41" s="218">
        <f>#N/A</f>
        <v>335.52999999999975</v>
      </c>
      <c r="I41" s="220">
        <f>#N/A</f>
        <v>1.055069918592437</v>
      </c>
      <c r="J41" s="221">
        <f>#N/A</f>
        <v>-14671.67</v>
      </c>
      <c r="K41" s="222">
        <f>#N/A</f>
        <v>0.3046601895734597</v>
      </c>
      <c r="L41" s="176"/>
      <c r="M41" s="176"/>
      <c r="N41" s="176"/>
      <c r="O41" s="221">
        <v>20366.58</v>
      </c>
      <c r="P41" s="221">
        <f>#N/A</f>
        <v>733.4199999999983</v>
      </c>
      <c r="Q41" s="222">
        <f>#N/A</f>
        <v>1.0360109552021006</v>
      </c>
      <c r="R41" s="221">
        <v>6235.75</v>
      </c>
      <c r="S41" s="221">
        <f>#N/A</f>
        <v>192.57999999999993</v>
      </c>
      <c r="T41" s="222">
        <f>#N/A</f>
        <v>1.0308832137272983</v>
      </c>
      <c r="U41" s="206">
        <f>F41-березень!F41</f>
        <v>1500</v>
      </c>
      <c r="V41" s="206">
        <f>G41-березень!G41</f>
        <v>1502.5299999999997</v>
      </c>
      <c r="W41" s="221">
        <f>#N/A</f>
        <v>2.5299999999997453</v>
      </c>
      <c r="X41" s="222">
        <f>#N/A</f>
        <v>100.16866666666664</v>
      </c>
      <c r="Y41" s="465">
        <f>#N/A</f>
        <v>-0.0051277414748023276</v>
      </c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v>0</v>
      </c>
      <c r="G42" s="139">
        <v>0</v>
      </c>
      <c r="H42" s="102">
        <f>#N/A</f>
        <v>0</v>
      </c>
      <c r="I42" s="208"/>
      <c r="J42" s="108">
        <f>#N/A</f>
        <v>0</v>
      </c>
      <c r="K42" s="108"/>
      <c r="L42" s="108"/>
      <c r="M42" s="108"/>
      <c r="N42" s="108"/>
      <c r="O42" s="108">
        <v>0.2</v>
      </c>
      <c r="P42" s="108">
        <f>#N/A</f>
        <v>-0.2</v>
      </c>
      <c r="Q42" s="148">
        <f>#N/A</f>
        <v>0</v>
      </c>
      <c r="R42" s="117">
        <v>0.2</v>
      </c>
      <c r="S42" s="108">
        <f>#N/A</f>
        <v>-0.2</v>
      </c>
      <c r="T42" s="148"/>
      <c r="U42" s="107">
        <f>F42-березень!F42</f>
        <v>0</v>
      </c>
      <c r="V42" s="110">
        <f>G42-квітень!G42</f>
        <v>0</v>
      </c>
      <c r="W42" s="111">
        <f>#N/A</f>
        <v>0</v>
      </c>
      <c r="X42" s="148"/>
      <c r="Y42" s="197">
        <f>#N/A</f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50.43</v>
      </c>
      <c r="G43" s="106">
        <v>67.96</v>
      </c>
      <c r="H43" s="102">
        <f>#N/A</f>
        <v>17.529999999999994</v>
      </c>
      <c r="I43" s="208">
        <f>G43/F43</f>
        <v>1.3476105492762243</v>
      </c>
      <c r="J43" s="108">
        <f>#N/A</f>
        <v>-106.44000000000001</v>
      </c>
      <c r="K43" s="148">
        <f>G43/E43</f>
        <v>0.38967889908256875</v>
      </c>
      <c r="L43" s="108"/>
      <c r="M43" s="108"/>
      <c r="N43" s="108"/>
      <c r="O43" s="108">
        <v>156.82</v>
      </c>
      <c r="P43" s="108">
        <f>#N/A</f>
        <v>17.580000000000013</v>
      </c>
      <c r="Q43" s="148">
        <f>#N/A</f>
        <v>1.112103048080602</v>
      </c>
      <c r="R43" s="117">
        <v>52.41</v>
      </c>
      <c r="S43" s="108">
        <f>#N/A</f>
        <v>15.549999999999997</v>
      </c>
      <c r="T43" s="148">
        <f>#N/A</f>
        <v>1.2966991032245754</v>
      </c>
      <c r="U43" s="107">
        <f>F43-березень!F43</f>
        <v>17</v>
      </c>
      <c r="V43" s="110">
        <f>G43-березень!G43</f>
        <v>20.729999999999997</v>
      </c>
      <c r="W43" s="111">
        <f>#N/A</f>
        <v>3.729999999999997</v>
      </c>
      <c r="X43" s="148">
        <f>V43/U43</f>
        <v>1.2194117647058822</v>
      </c>
      <c r="Y43" s="466">
        <f>#N/A</f>
        <v>0.18459605514397337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30.9</v>
      </c>
      <c r="G44" s="94">
        <v>56.05</v>
      </c>
      <c r="H44" s="71">
        <f>#N/A</f>
        <v>25.15</v>
      </c>
      <c r="I44" s="209">
        <f>G44/F44</f>
        <v>1.813915857605178</v>
      </c>
      <c r="J44" s="72">
        <f>#N/A</f>
        <v>-44.85000000000001</v>
      </c>
      <c r="K44" s="75">
        <f>G44/E44</f>
        <v>0.5555004955401387</v>
      </c>
      <c r="L44" s="72"/>
      <c r="M44" s="72"/>
      <c r="N44" s="72"/>
      <c r="O44" s="72">
        <v>95.14</v>
      </c>
      <c r="P44" s="72">
        <f>#N/A</f>
        <v>5.760000000000005</v>
      </c>
      <c r="Q44" s="75">
        <f>#N/A</f>
        <v>1.0605423586293883</v>
      </c>
      <c r="R44" s="72">
        <v>27.86</v>
      </c>
      <c r="S44" s="72">
        <f>#N/A</f>
        <v>28.189999999999998</v>
      </c>
      <c r="T44" s="75">
        <f>#N/A</f>
        <v>2.0118449389806172</v>
      </c>
      <c r="U44" s="73">
        <f>F44-березень!F44</f>
        <v>5</v>
      </c>
      <c r="V44" s="98">
        <f>G44-березень!G44</f>
        <v>17.15</v>
      </c>
      <c r="W44" s="74">
        <f>#N/A</f>
        <v>12.149999999999999</v>
      </c>
      <c r="X44" s="75">
        <f>V44/U44</f>
        <v>3.4299999999999997</v>
      </c>
      <c r="Y44" s="465">
        <f>#N/A</f>
        <v>0.9513025803512289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19.53</v>
      </c>
      <c r="G45" s="94">
        <v>11.91</v>
      </c>
      <c r="H45" s="71">
        <f>#N/A</f>
        <v>-7.620000000000001</v>
      </c>
      <c r="I45" s="209">
        <f>G45/F45</f>
        <v>0.6098310291858678</v>
      </c>
      <c r="J45" s="72">
        <f>#N/A</f>
        <v>-61.59</v>
      </c>
      <c r="K45" s="75">
        <f>G45/E45</f>
        <v>0.1620408163265306</v>
      </c>
      <c r="L45" s="72"/>
      <c r="M45" s="72"/>
      <c r="N45" s="72"/>
      <c r="O45" s="72">
        <v>61.68</v>
      </c>
      <c r="P45" s="72">
        <f>#N/A</f>
        <v>11.82</v>
      </c>
      <c r="Q45" s="75">
        <f>#N/A</f>
        <v>1.1916342412451362</v>
      </c>
      <c r="R45" s="72">
        <v>24.55</v>
      </c>
      <c r="S45" s="72">
        <f>#N/A</f>
        <v>-12.64</v>
      </c>
      <c r="T45" s="75">
        <f>#N/A</f>
        <v>0.485132382892057</v>
      </c>
      <c r="U45" s="73">
        <f>F45-березень!F45</f>
        <v>12</v>
      </c>
      <c r="V45" s="98">
        <f>G45-березень!G45</f>
        <v>3.58</v>
      </c>
      <c r="W45" s="74">
        <f>#N/A</f>
        <v>-8.42</v>
      </c>
      <c r="X45" s="75">
        <f>V45/U45</f>
        <v>0.29833333333333334</v>
      </c>
      <c r="Y45" s="465">
        <f>#N/A</f>
        <v>-0.7065018583530791</v>
      </c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-1.18</v>
      </c>
      <c r="H46" s="102">
        <f>#N/A</f>
        <v>-1.18</v>
      </c>
      <c r="I46" s="208"/>
      <c r="J46" s="108">
        <f>#N/A</f>
        <v>-1.18</v>
      </c>
      <c r="K46" s="148"/>
      <c r="L46" s="108"/>
      <c r="M46" s="108"/>
      <c r="N46" s="108"/>
      <c r="O46" s="108">
        <v>-50.78</v>
      </c>
      <c r="P46" s="108">
        <f>#N/A</f>
        <v>50.78</v>
      </c>
      <c r="Q46" s="148">
        <f>#N/A</f>
        <v>0</v>
      </c>
      <c r="R46" s="108">
        <v>-27.35</v>
      </c>
      <c r="S46" s="108">
        <f>#N/A</f>
        <v>26.17</v>
      </c>
      <c r="T46" s="148">
        <f>#N/A</f>
        <v>0.04314442413162705</v>
      </c>
      <c r="U46" s="107">
        <f>F46-березень!F46</f>
        <v>0</v>
      </c>
      <c r="V46" s="110">
        <f>G46-березень!G46</f>
        <v>0.5800000000000001</v>
      </c>
      <c r="W46" s="111">
        <f>#N/A</f>
        <v>0.5800000000000001</v>
      </c>
      <c r="X46" s="148"/>
      <c r="Y46" s="197">
        <f>#N/A</f>
        <v>0.04314442413162705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254550.8</v>
      </c>
      <c r="F47" s="112">
        <f>F48+F49+F50+F51</f>
        <v>89156.76</v>
      </c>
      <c r="G47" s="113">
        <v>91314.54</v>
      </c>
      <c r="H47" s="102">
        <f>#N/A</f>
        <v>2157.779999999999</v>
      </c>
      <c r="I47" s="208">
        <f>G47/F47</f>
        <v>1.024202090789302</v>
      </c>
      <c r="J47" s="108">
        <f>#N/A</f>
        <v>-163236.26</v>
      </c>
      <c r="K47" s="148">
        <f>G47/E47</f>
        <v>0.35872815956579196</v>
      </c>
      <c r="L47" s="108"/>
      <c r="M47" s="108"/>
      <c r="N47" s="108"/>
      <c r="O47" s="108">
        <v>223368.23</v>
      </c>
      <c r="P47" s="108">
        <f>#N/A</f>
        <v>31182.569999999978</v>
      </c>
      <c r="Q47" s="148">
        <f>#N/A</f>
        <v>1.139601634484904</v>
      </c>
      <c r="R47" s="123">
        <v>73607.04</v>
      </c>
      <c r="S47" s="123">
        <f>#N/A</f>
        <v>17707.5</v>
      </c>
      <c r="T47" s="160">
        <f>#N/A</f>
        <v>1.2405680217544408</v>
      </c>
      <c r="U47" s="107">
        <f>F47-березень!F47</f>
        <v>20507.59999999999</v>
      </c>
      <c r="V47" s="110">
        <f>G47-березень!G47</f>
        <v>22241.89</v>
      </c>
      <c r="W47" s="111">
        <f>#N/A</f>
        <v>1734.2900000000081</v>
      </c>
      <c r="X47" s="148">
        <f>V47/U47</f>
        <v>1.084568160096745</v>
      </c>
      <c r="Y47" s="197">
        <f>#N/A</f>
        <v>0.10096638726953677</v>
      </c>
    </row>
    <row r="48" spans="1:25" s="6" customFormat="1" ht="15" customHeight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</v>
      </c>
      <c r="H48" s="71">
        <f>G48-F48</f>
        <v>0</v>
      </c>
      <c r="I48" s="209"/>
      <c r="J48" s="72">
        <f>#N/A</f>
        <v>0</v>
      </c>
      <c r="K48" s="75"/>
      <c r="L48" s="72"/>
      <c r="M48" s="72"/>
      <c r="N48" s="72"/>
      <c r="O48" s="72">
        <v>0.01</v>
      </c>
      <c r="P48" s="72">
        <f>#N/A</f>
        <v>-0.01</v>
      </c>
      <c r="Q48" s="75">
        <f>#N/A</f>
        <v>0</v>
      </c>
      <c r="R48" s="85">
        <f>O48</f>
        <v>0.01</v>
      </c>
      <c r="S48" s="85">
        <f>#N/A</f>
        <v>-0.01</v>
      </c>
      <c r="T48" s="153">
        <f>#N/A</f>
        <v>0</v>
      </c>
      <c r="U48" s="73">
        <f>F48-березень!F48</f>
        <v>0</v>
      </c>
      <c r="V48" s="98">
        <f>G48-березень!G48</f>
        <v>-0.01</v>
      </c>
      <c r="W48" s="74">
        <f>#N/A</f>
        <v>-0.01</v>
      </c>
      <c r="X48" s="75"/>
      <c r="Y48" s="197">
        <f>#N/A</f>
        <v>0</v>
      </c>
    </row>
    <row r="49" spans="1:25" s="6" customFormat="1" ht="15" customHeight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18983.87</v>
      </c>
      <c r="G49" s="94">
        <v>17923.16</v>
      </c>
      <c r="H49" s="71">
        <f>G49-F49</f>
        <v>-1060.7099999999991</v>
      </c>
      <c r="I49" s="209">
        <f>G49/F49</f>
        <v>0.9441257235748033</v>
      </c>
      <c r="J49" s="72">
        <f>#N/A</f>
        <v>-37791.84</v>
      </c>
      <c r="K49" s="75">
        <f>G49/E49</f>
        <v>0.3216936193125729</v>
      </c>
      <c r="L49" s="72"/>
      <c r="M49" s="72"/>
      <c r="N49" s="72"/>
      <c r="O49" s="72">
        <v>45030.34</v>
      </c>
      <c r="P49" s="72">
        <f>#N/A</f>
        <v>10684.660000000003</v>
      </c>
      <c r="Q49" s="75">
        <f>#N/A</f>
        <v>1.2372769115223203</v>
      </c>
      <c r="R49" s="85">
        <v>13998.42</v>
      </c>
      <c r="S49" s="85">
        <f>#N/A</f>
        <v>3924.74</v>
      </c>
      <c r="T49" s="153">
        <f>#N/A</f>
        <v>1.2803702132097765</v>
      </c>
      <c r="U49" s="73">
        <f>F49-березень!F49</f>
        <v>3999.999999999998</v>
      </c>
      <c r="V49" s="98">
        <f>G49-березень!G49</f>
        <v>3416.92</v>
      </c>
      <c r="W49" s="74">
        <f>#N/A</f>
        <v>-583.0799999999981</v>
      </c>
      <c r="X49" s="75">
        <f>V49/U49</f>
        <v>0.8542300000000004</v>
      </c>
      <c r="Y49" s="197">
        <f>#N/A</f>
        <v>0.043093301687456176</v>
      </c>
    </row>
    <row r="50" spans="1:25" s="6" customFormat="1" ht="15" customHeight="1">
      <c r="A50" s="8"/>
      <c r="B50" s="41" t="s">
        <v>79</v>
      </c>
      <c r="C50" s="70">
        <v>18050400</v>
      </c>
      <c r="D50" s="230">
        <v>198755</v>
      </c>
      <c r="E50" s="71">
        <v>198755</v>
      </c>
      <c r="F50" s="71">
        <v>70140.49</v>
      </c>
      <c r="G50" s="94">
        <v>73358.97</v>
      </c>
      <c r="H50" s="71">
        <f>G50-F50</f>
        <v>3218.479999999996</v>
      </c>
      <c r="I50" s="209">
        <f>G50/F50</f>
        <v>1.0458861921266873</v>
      </c>
      <c r="J50" s="72">
        <f>#N/A</f>
        <v>-125396.03</v>
      </c>
      <c r="K50" s="75">
        <f>G50/E50</f>
        <v>0.3690924505043898</v>
      </c>
      <c r="L50" s="72"/>
      <c r="M50" s="72"/>
      <c r="N50" s="72"/>
      <c r="O50" s="72">
        <v>178270.24</v>
      </c>
      <c r="P50" s="72">
        <f>#N/A</f>
        <v>20484.76000000001</v>
      </c>
      <c r="Q50" s="75">
        <f>#N/A</f>
        <v>1.11490846705541</v>
      </c>
      <c r="R50" s="85">
        <v>59585.52</v>
      </c>
      <c r="S50" s="85">
        <f>#N/A</f>
        <v>13773.450000000004</v>
      </c>
      <c r="T50" s="153">
        <f>#N/A</f>
        <v>1.2311543140011199</v>
      </c>
      <c r="U50" s="73">
        <f>F50-березень!F50</f>
        <v>16500.000000000007</v>
      </c>
      <c r="V50" s="98">
        <f>G50-березень!G50</f>
        <v>18814.870000000003</v>
      </c>
      <c r="W50" s="74">
        <f>#N/A</f>
        <v>2314.8699999999953</v>
      </c>
      <c r="X50" s="75">
        <f>V50/U50</f>
        <v>1.1402951515151512</v>
      </c>
      <c r="Y50" s="197">
        <f>#N/A</f>
        <v>0.11624584694570994</v>
      </c>
    </row>
    <row r="51" spans="1:25" s="6" customFormat="1" ht="15" customHeight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32.4</v>
      </c>
      <c r="G51" s="94">
        <v>32.41</v>
      </c>
      <c r="H51" s="71">
        <f>G51-F51</f>
        <v>0.00999999999999801</v>
      </c>
      <c r="I51" s="209">
        <f>G51/F51</f>
        <v>1.0003086419753087</v>
      </c>
      <c r="J51" s="72">
        <f>#N/A</f>
        <v>-48.39</v>
      </c>
      <c r="K51" s="75">
        <f>G51/E51</f>
        <v>0.4011138613861386</v>
      </c>
      <c r="L51" s="72"/>
      <c r="M51" s="72"/>
      <c r="N51" s="72"/>
      <c r="O51" s="72">
        <v>67.63</v>
      </c>
      <c r="P51" s="72">
        <f>#N/A</f>
        <v>13.170000000000002</v>
      </c>
      <c r="Q51" s="75">
        <f>#N/A</f>
        <v>1.1947360638769777</v>
      </c>
      <c r="R51" s="85">
        <v>23.09</v>
      </c>
      <c r="S51" s="85">
        <f>#N/A</f>
        <v>9.319999999999997</v>
      </c>
      <c r="T51" s="153">
        <f>#N/A</f>
        <v>1.4036379385015156</v>
      </c>
      <c r="U51" s="73">
        <f>F51-березень!F51</f>
        <v>7.599999999999998</v>
      </c>
      <c r="V51" s="98">
        <f>G51-березень!G51</f>
        <v>10.099999999999998</v>
      </c>
      <c r="W51" s="74">
        <f>#N/A</f>
        <v>2.5</v>
      </c>
      <c r="X51" s="75"/>
      <c r="Y51" s="197">
        <f>#N/A</f>
        <v>0.2089018746245379</v>
      </c>
    </row>
    <row r="52" spans="1:25" s="6" customFormat="1" ht="15" customHeight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>#N/A</f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>#N/A</f>
        <v>0</v>
      </c>
      <c r="T52" s="154"/>
      <c r="U52" s="91">
        <f>F52-березень!F52</f>
        <v>0</v>
      </c>
      <c r="V52" s="99">
        <f>G52-березень!G52</f>
        <v>0</v>
      </c>
      <c r="W52" s="117">
        <f>#N/A</f>
        <v>0</v>
      </c>
      <c r="X52" s="67"/>
      <c r="Y52" s="197">
        <f>#N/A</f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14390.55</v>
      </c>
      <c r="G53" s="103">
        <f>G54+G55+G56+G57+G58+G60+G62+G63+G64+G65+G66+G71+G72+G76+G59+G61</f>
        <v>16135.789999999999</v>
      </c>
      <c r="H53" s="103">
        <f>H54+H55+H56+H57+H58+H60+H62+H63+H64+H65+H66+H71+H72+H76+H59+H61</f>
        <v>1745.2399999999989</v>
      </c>
      <c r="I53" s="143">
        <f>#N/A</f>
        <v>1.1212768101288693</v>
      </c>
      <c r="J53" s="104">
        <f>G53-E53</f>
        <v>-31113.11</v>
      </c>
      <c r="K53" s="156">
        <f>#N/A</f>
        <v>0.34150615146596003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19437.9</v>
      </c>
      <c r="S53" s="103">
        <f>#N/A</f>
        <v>-3302.1100000000024</v>
      </c>
      <c r="T53" s="143">
        <f>G53/R53</f>
        <v>0.8301200232535406</v>
      </c>
      <c r="U53" s="103">
        <f>U54+U55+U56+U57+U58+U60+U62+U63+U64+U65+U66+U71+U72+U76+U59+U61</f>
        <v>3747.5019999999995</v>
      </c>
      <c r="V53" s="103">
        <f>V54+V55+V56+V57+V58+V60+V62+V63+V64+V65+V66+V71+V72+V76+V59+V61</f>
        <v>4638.3</v>
      </c>
      <c r="W53" s="103">
        <f>W54+W55+W56+W57+W58+W60+W62+W63+W64+W65+W66+W71+W72+W76</f>
        <v>870.1979999999996</v>
      </c>
      <c r="X53" s="143">
        <f>V53/U53</f>
        <v>1.2377044762084186</v>
      </c>
      <c r="Y53" s="197">
        <f>#N/A</f>
        <v>0.14911349956361863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v>6.11</v>
      </c>
      <c r="G54" s="106">
        <v>58.91</v>
      </c>
      <c r="H54" s="102">
        <f>#N/A</f>
        <v>52.8</v>
      </c>
      <c r="I54" s="213">
        <f>#N/A</f>
        <v>9.641571194762683</v>
      </c>
      <c r="J54" s="115">
        <f>G54-E54</f>
        <v>-2591.09</v>
      </c>
      <c r="K54" s="155">
        <f>#N/A</f>
        <v>0.022230188679245283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-180.86</v>
      </c>
      <c r="S54" s="115">
        <f>#N/A</f>
        <v>239.77</v>
      </c>
      <c r="T54" s="155">
        <f>G54/R54</f>
        <v>-0.32572155258210767</v>
      </c>
      <c r="U54" s="107">
        <f>F54-березень!F54</f>
        <v>0</v>
      </c>
      <c r="V54" s="110">
        <f>G54-березень!G54</f>
        <v>0</v>
      </c>
      <c r="W54" s="111">
        <f>#N/A</f>
        <v>0</v>
      </c>
      <c r="X54" s="155" t="e">
        <f>V54/U54</f>
        <v>#DIV/0!</v>
      </c>
      <c r="Y54" s="197">
        <f>#N/A</f>
        <v>-1.3318112426305517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v>5000</v>
      </c>
      <c r="F55" s="102">
        <v>1000.08</v>
      </c>
      <c r="G55" s="106">
        <v>2237.17</v>
      </c>
      <c r="H55" s="102">
        <f>#N/A</f>
        <v>1237.0900000000001</v>
      </c>
      <c r="I55" s="213">
        <f>#N/A</f>
        <v>2.2369910407167426</v>
      </c>
      <c r="J55" s="115">
        <f>#N/A</f>
        <v>-2762.83</v>
      </c>
      <c r="K55" s="155">
        <f>#N/A</f>
        <v>0.447434</v>
      </c>
      <c r="L55" s="115"/>
      <c r="M55" s="115"/>
      <c r="N55" s="115"/>
      <c r="O55" s="115">
        <v>27997.6</v>
      </c>
      <c r="P55" s="115">
        <f>#N/A</f>
        <v>-22997.6</v>
      </c>
      <c r="Q55" s="155">
        <f>#N/A</f>
        <v>0.17858673600594338</v>
      </c>
      <c r="R55" s="115">
        <v>7806.86</v>
      </c>
      <c r="S55" s="115">
        <f>#N/A</f>
        <v>-5569.69</v>
      </c>
      <c r="T55" s="155">
        <f>#N/A</f>
        <v>0.2865646367425572</v>
      </c>
      <c r="U55" s="107">
        <f>F55-березень!F55</f>
        <v>420.00200000000007</v>
      </c>
      <c r="V55" s="110">
        <f>G55-березень!G55</f>
        <v>1137.4</v>
      </c>
      <c r="W55" s="111">
        <f>#N/A</f>
        <v>717.398</v>
      </c>
      <c r="X55" s="155">
        <f>#N/A</f>
        <v>2.7080823424650355</v>
      </c>
      <c r="Y55" s="197">
        <f>#N/A</f>
        <v>0.10797790073661384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42</v>
      </c>
      <c r="G56" s="106">
        <v>51.82</v>
      </c>
      <c r="H56" s="102">
        <f>#N/A</f>
        <v>9.82</v>
      </c>
      <c r="I56" s="213">
        <f>#N/A</f>
        <v>1.233809523809524</v>
      </c>
      <c r="J56" s="115">
        <f>#N/A</f>
        <v>-106.18</v>
      </c>
      <c r="K56" s="155">
        <f>#N/A</f>
        <v>0.3279746835443038</v>
      </c>
      <c r="L56" s="115"/>
      <c r="M56" s="115"/>
      <c r="N56" s="115"/>
      <c r="O56" s="115">
        <v>153.3</v>
      </c>
      <c r="P56" s="115">
        <f>#N/A</f>
        <v>4.699999999999989</v>
      </c>
      <c r="Q56" s="155">
        <f>#N/A</f>
        <v>1.030658838878017</v>
      </c>
      <c r="R56" s="115">
        <v>82.8</v>
      </c>
      <c r="S56" s="115">
        <f>#N/A</f>
        <v>-30.979999999999997</v>
      </c>
      <c r="T56" s="155">
        <f>#N/A</f>
        <v>0.6258454106280193</v>
      </c>
      <c r="U56" s="107">
        <f>F56-березень!F56</f>
        <v>14</v>
      </c>
      <c r="V56" s="110">
        <f>G56-березень!G56</f>
        <v>0</v>
      </c>
      <c r="W56" s="111">
        <f>#N/A</f>
        <v>-14</v>
      </c>
      <c r="X56" s="155">
        <f>#N/A</f>
        <v>0</v>
      </c>
      <c r="Y56" s="197">
        <f>#N/A</f>
        <v>-0.40481342824999755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5</v>
      </c>
      <c r="G57" s="106">
        <v>2.02</v>
      </c>
      <c r="H57" s="102">
        <f>#N/A</f>
        <v>-2.98</v>
      </c>
      <c r="I57" s="213">
        <f>#N/A</f>
        <v>0.404</v>
      </c>
      <c r="J57" s="115">
        <f>#N/A</f>
        <v>-10.98</v>
      </c>
      <c r="K57" s="155">
        <f>#N/A</f>
        <v>0.1553846153846154</v>
      </c>
      <c r="L57" s="115"/>
      <c r="M57" s="115"/>
      <c r="N57" s="115"/>
      <c r="O57" s="115">
        <v>12.95</v>
      </c>
      <c r="P57" s="115">
        <f>#N/A</f>
        <v>0.05000000000000071</v>
      </c>
      <c r="Q57" s="225">
        <f>#N/A</f>
        <v>1.0038610038610039</v>
      </c>
      <c r="R57" s="115">
        <v>2.03</v>
      </c>
      <c r="S57" s="115">
        <f>#N/A</f>
        <v>-0.009999999999999787</v>
      </c>
      <c r="T57" s="155"/>
      <c r="U57" s="107">
        <f>F57-березень!F57</f>
        <v>1</v>
      </c>
      <c r="V57" s="110">
        <f>G57-березень!G57</f>
        <v>0</v>
      </c>
      <c r="W57" s="111">
        <f>#N/A</f>
        <v>-1</v>
      </c>
      <c r="X57" s="155">
        <f>#N/A</f>
        <v>0</v>
      </c>
      <c r="Y57" s="197">
        <f>#N/A</f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208.43</v>
      </c>
      <c r="G58" s="106">
        <v>245.78</v>
      </c>
      <c r="H58" s="102">
        <f>#N/A</f>
        <v>37.349999999999994</v>
      </c>
      <c r="I58" s="213">
        <f>#N/A</f>
        <v>1.1791968526603656</v>
      </c>
      <c r="J58" s="115">
        <f>#N/A</f>
        <v>-498.22</v>
      </c>
      <c r="K58" s="155">
        <f>#N/A</f>
        <v>0.3303494623655914</v>
      </c>
      <c r="L58" s="115"/>
      <c r="M58" s="115"/>
      <c r="N58" s="115"/>
      <c r="O58" s="115">
        <v>705.31</v>
      </c>
      <c r="P58" s="115">
        <f>#N/A</f>
        <v>38.690000000000055</v>
      </c>
      <c r="Q58" s="155">
        <f>#N/A</f>
        <v>1.0548553118486907</v>
      </c>
      <c r="R58" s="115">
        <v>394.48</v>
      </c>
      <c r="S58" s="115">
        <f>#N/A</f>
        <v>-148.70000000000002</v>
      </c>
      <c r="T58" s="155">
        <f>#N/A</f>
        <v>0.6230480632731697</v>
      </c>
      <c r="U58" s="107">
        <f>F58-березень!F58</f>
        <v>60</v>
      </c>
      <c r="V58" s="110">
        <f>G58-березень!G58</f>
        <v>21.189999999999998</v>
      </c>
      <c r="W58" s="111">
        <f>#N/A</f>
        <v>-38.81</v>
      </c>
      <c r="X58" s="155">
        <f>#N/A</f>
        <v>0.35316666666666663</v>
      </c>
      <c r="Y58" s="197">
        <f>#N/A</f>
        <v>-0.431807248575521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30</v>
      </c>
      <c r="G59" s="106">
        <v>39.22</v>
      </c>
      <c r="H59" s="102">
        <f>#N/A</f>
        <v>9.219999999999999</v>
      </c>
      <c r="I59" s="213">
        <f>#N/A</f>
        <v>1.3073333333333332</v>
      </c>
      <c r="J59" s="115">
        <f>#N/A</f>
        <v>-76.28</v>
      </c>
      <c r="K59" s="155">
        <f>#N/A</f>
        <v>0.3395670995670996</v>
      </c>
      <c r="L59" s="115"/>
      <c r="M59" s="115"/>
      <c r="N59" s="115"/>
      <c r="O59" s="115">
        <v>114.3</v>
      </c>
      <c r="P59" s="115">
        <f>#N/A</f>
        <v>1.2000000000000028</v>
      </c>
      <c r="Q59" s="155">
        <f>#N/A</f>
        <v>1.010498687664042</v>
      </c>
      <c r="R59" s="115">
        <v>1.01</v>
      </c>
      <c r="S59" s="115">
        <f>#N/A</f>
        <v>38.21</v>
      </c>
      <c r="T59" s="155">
        <f>#N/A</f>
        <v>38.83168316831683</v>
      </c>
      <c r="U59" s="107">
        <f>F59-березень!F59</f>
        <v>10</v>
      </c>
      <c r="V59" s="110">
        <f>G59-березень!G59</f>
        <v>30.6</v>
      </c>
      <c r="W59" s="111">
        <f>#N/A</f>
        <v>20.6</v>
      </c>
      <c r="X59" s="155">
        <f>#N/A</f>
        <v>3.06</v>
      </c>
      <c r="Y59" s="197">
        <f>#N/A</f>
        <v>37.82118448065279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384</v>
      </c>
      <c r="G60" s="106">
        <v>376.39</v>
      </c>
      <c r="H60" s="102">
        <f>#N/A</f>
        <v>-7.610000000000014</v>
      </c>
      <c r="I60" s="213">
        <f>#N/A</f>
        <v>0.9801822916666666</v>
      </c>
      <c r="J60" s="115">
        <f>#N/A</f>
        <v>-907.61</v>
      </c>
      <c r="K60" s="155">
        <f>#N/A</f>
        <v>0.2931386292834891</v>
      </c>
      <c r="L60" s="115"/>
      <c r="M60" s="115"/>
      <c r="N60" s="115"/>
      <c r="O60" s="115">
        <v>1205.14</v>
      </c>
      <c r="P60" s="115">
        <f>#N/A</f>
        <v>78.8599999999999</v>
      </c>
      <c r="Q60" s="155">
        <f>#N/A</f>
        <v>1.0654363808354215</v>
      </c>
      <c r="R60" s="115">
        <v>393.47</v>
      </c>
      <c r="S60" s="115">
        <f>#N/A</f>
        <v>-17.08000000000004</v>
      </c>
      <c r="T60" s="155">
        <f>#N/A</f>
        <v>0.9565913538516277</v>
      </c>
      <c r="U60" s="107">
        <f>F60-березень!F60</f>
        <v>100</v>
      </c>
      <c r="V60" s="110">
        <f>G60-березень!G60</f>
        <v>96.06</v>
      </c>
      <c r="W60" s="111">
        <f>#N/A</f>
        <v>-3.9399999999999977</v>
      </c>
      <c r="X60" s="155">
        <f>#N/A</f>
        <v>0.9606</v>
      </c>
      <c r="Y60" s="197">
        <f>#N/A</f>
        <v>-0.10884502698379372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>#N/A</f>
        <v>0</v>
      </c>
      <c r="I61" s="213" t="e">
        <f>#N/A</f>
        <v>#DIV/0!</v>
      </c>
      <c r="J61" s="115">
        <f>#N/A</f>
        <v>0</v>
      </c>
      <c r="K61" s="155" t="e">
        <f>#N/A</f>
        <v>#DIV/0!</v>
      </c>
      <c r="L61" s="115"/>
      <c r="M61" s="115"/>
      <c r="N61" s="115"/>
      <c r="O61" s="115">
        <v>23.38</v>
      </c>
      <c r="P61" s="115">
        <f>#N/A</f>
        <v>-23.38</v>
      </c>
      <c r="Q61" s="155">
        <f>#N/A</f>
        <v>0</v>
      </c>
      <c r="R61" s="115">
        <v>0</v>
      </c>
      <c r="S61" s="115">
        <f>#N/A</f>
        <v>0</v>
      </c>
      <c r="T61" s="155"/>
      <c r="U61" s="107">
        <f>F61-березень!F61</f>
        <v>0</v>
      </c>
      <c r="V61" s="110">
        <f>G61-березень!G61</f>
        <v>0</v>
      </c>
      <c r="W61" s="111">
        <f>#N/A</f>
        <v>0</v>
      </c>
      <c r="X61" s="155" t="e">
        <f>#N/A</f>
        <v>#DIV/0!</v>
      </c>
      <c r="Y61" s="197">
        <f>#N/A</f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v>21260</v>
      </c>
      <c r="F62" s="102">
        <v>7490</v>
      </c>
      <c r="G62" s="106">
        <v>8292.46</v>
      </c>
      <c r="H62" s="102">
        <f>#N/A</f>
        <v>802.4599999999991</v>
      </c>
      <c r="I62" s="213">
        <f>#N/A</f>
        <v>1.1071375166889184</v>
      </c>
      <c r="J62" s="115">
        <f>#N/A</f>
        <v>-12967.54</v>
      </c>
      <c r="K62" s="155">
        <f>#N/A</f>
        <v>0.3900498588899341</v>
      </c>
      <c r="L62" s="115"/>
      <c r="M62" s="115"/>
      <c r="N62" s="115"/>
      <c r="O62" s="115">
        <v>20110.14</v>
      </c>
      <c r="P62" s="115">
        <f>#N/A</f>
        <v>1149.8600000000006</v>
      </c>
      <c r="Q62" s="155">
        <f>#N/A</f>
        <v>1.0571781200926498</v>
      </c>
      <c r="R62" s="115">
        <v>4681.51</v>
      </c>
      <c r="S62" s="115">
        <f>#N/A</f>
        <v>3610.949999999999</v>
      </c>
      <c r="T62" s="155">
        <f>#N/A</f>
        <v>1.771321646220984</v>
      </c>
      <c r="U62" s="107">
        <f>F62-березень!F62</f>
        <v>1800</v>
      </c>
      <c r="V62" s="110">
        <f>G62-березень!G62</f>
        <v>2090.5199999999995</v>
      </c>
      <c r="W62" s="111">
        <f>#N/A</f>
        <v>290.5199999999995</v>
      </c>
      <c r="X62" s="155">
        <f>#N/A</f>
        <v>1.1613999999999998</v>
      </c>
      <c r="Y62" s="197">
        <f>#N/A</f>
        <v>0.7141435261283342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249</v>
      </c>
      <c r="G63" s="106">
        <v>272.85</v>
      </c>
      <c r="H63" s="102">
        <f>#N/A</f>
        <v>23.850000000000023</v>
      </c>
      <c r="I63" s="213">
        <f>#N/A</f>
        <v>1.0957831325301206</v>
      </c>
      <c r="J63" s="115">
        <f>#N/A</f>
        <v>-494.15</v>
      </c>
      <c r="K63" s="155">
        <f>#N/A</f>
        <v>0.35573663624511087</v>
      </c>
      <c r="L63" s="115"/>
      <c r="M63" s="115"/>
      <c r="N63" s="115"/>
      <c r="O63" s="115">
        <v>710.04</v>
      </c>
      <c r="P63" s="115">
        <f>#N/A</f>
        <v>56.960000000000036</v>
      </c>
      <c r="Q63" s="155">
        <f>#N/A</f>
        <v>1.0802208326291478</v>
      </c>
      <c r="R63" s="115">
        <v>175.37</v>
      </c>
      <c r="S63" s="115">
        <f>#N/A</f>
        <v>97.48000000000002</v>
      </c>
      <c r="T63" s="155">
        <f>#N/A</f>
        <v>1.5558533386554143</v>
      </c>
      <c r="U63" s="107">
        <f>F63-березень!F63</f>
        <v>64</v>
      </c>
      <c r="V63" s="110">
        <f>G63-березень!G63</f>
        <v>70.69000000000003</v>
      </c>
      <c r="W63" s="111">
        <f>#N/A</f>
        <v>6.690000000000026</v>
      </c>
      <c r="X63" s="155">
        <f>#N/A</f>
        <v>1.1045312500000004</v>
      </c>
      <c r="Y63" s="197">
        <f>#N/A</f>
        <v>0.4756325060262665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12</v>
      </c>
      <c r="G64" s="106">
        <v>13.06</v>
      </c>
      <c r="H64" s="102">
        <f>#N/A</f>
        <v>1.0600000000000005</v>
      </c>
      <c r="I64" s="213">
        <f>#N/A</f>
        <v>1.0883333333333334</v>
      </c>
      <c r="J64" s="115">
        <f>#N/A</f>
        <v>-30.939999999999998</v>
      </c>
      <c r="K64" s="155">
        <f>#N/A</f>
        <v>0.2968181818181818</v>
      </c>
      <c r="L64" s="115"/>
      <c r="M64" s="115"/>
      <c r="N64" s="115"/>
      <c r="O64" s="115">
        <v>41.44</v>
      </c>
      <c r="P64" s="115">
        <f>#N/A</f>
        <v>2.5600000000000023</v>
      </c>
      <c r="Q64" s="155">
        <f>#N/A</f>
        <v>1.0617760617760619</v>
      </c>
      <c r="R64" s="115">
        <v>11.36</v>
      </c>
      <c r="S64" s="115">
        <f>#N/A</f>
        <v>1.700000000000001</v>
      </c>
      <c r="T64" s="155">
        <f>#N/A</f>
        <v>1.1496478873239437</v>
      </c>
      <c r="U64" s="107">
        <f>F64-березень!F64</f>
        <v>4</v>
      </c>
      <c r="V64" s="110">
        <f>G64-березень!G64</f>
        <v>5.300000000000001</v>
      </c>
      <c r="W64" s="111">
        <f>#N/A</f>
        <v>1.3000000000000007</v>
      </c>
      <c r="X64" s="155">
        <f>#N/A</f>
        <v>1.3250000000000002</v>
      </c>
      <c r="Y64" s="197">
        <f>#N/A</f>
        <v>0.08787182554788187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2064.14</v>
      </c>
      <c r="G65" s="106">
        <v>2279.83</v>
      </c>
      <c r="H65" s="102">
        <f>#N/A</f>
        <v>215.69000000000005</v>
      </c>
      <c r="I65" s="213">
        <f>#N/A</f>
        <v>1.1044938812289864</v>
      </c>
      <c r="J65" s="115">
        <f>#N/A</f>
        <v>-3720.17</v>
      </c>
      <c r="K65" s="155">
        <f>#N/A</f>
        <v>0.37997166666666665</v>
      </c>
      <c r="L65" s="115"/>
      <c r="M65" s="115"/>
      <c r="N65" s="115"/>
      <c r="O65" s="115">
        <v>6545.96</v>
      </c>
      <c r="P65" s="115">
        <f>#N/A</f>
        <v>-545.96</v>
      </c>
      <c r="Q65" s="155">
        <f>#N/A</f>
        <v>0.9165958850955398</v>
      </c>
      <c r="R65" s="115">
        <v>2187.7</v>
      </c>
      <c r="S65" s="115">
        <f>#N/A</f>
        <v>92.13000000000011</v>
      </c>
      <c r="T65" s="155">
        <f>#N/A</f>
        <v>1.0421127211226402</v>
      </c>
      <c r="U65" s="107">
        <f>F65-березень!F65</f>
        <v>499.9999999999998</v>
      </c>
      <c r="V65" s="110">
        <f>G65-березень!G65</f>
        <v>579.26</v>
      </c>
      <c r="W65" s="111">
        <f>#N/A</f>
        <v>79.26000000000022</v>
      </c>
      <c r="X65" s="155">
        <f>#N/A</f>
        <v>1.1585200000000004</v>
      </c>
      <c r="Y65" s="197">
        <f>#N/A</f>
        <v>0.1255168360271004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269.64</v>
      </c>
      <c r="G66" s="106">
        <v>232.25</v>
      </c>
      <c r="H66" s="102">
        <f>#N/A</f>
        <v>-37.389999999999986</v>
      </c>
      <c r="I66" s="213">
        <f>#N/A</f>
        <v>0.8613336300252189</v>
      </c>
      <c r="J66" s="115">
        <f>#N/A</f>
        <v>-633.75</v>
      </c>
      <c r="K66" s="155">
        <f>#N/A</f>
        <v>0.2681870669745958</v>
      </c>
      <c r="L66" s="115"/>
      <c r="M66" s="115"/>
      <c r="N66" s="115"/>
      <c r="O66" s="115">
        <v>896.22</v>
      </c>
      <c r="P66" s="115">
        <f>#N/A</f>
        <v>-30.220000000000027</v>
      </c>
      <c r="Q66" s="155">
        <f>#N/A</f>
        <v>0.9662806007453527</v>
      </c>
      <c r="R66" s="115">
        <v>289.26</v>
      </c>
      <c r="S66" s="115">
        <f>#N/A</f>
        <v>-57.00999999999999</v>
      </c>
      <c r="T66" s="155">
        <f>#N/A</f>
        <v>0.8029108760284865</v>
      </c>
      <c r="U66" s="107">
        <f>F66-березень!F66</f>
        <v>74.5</v>
      </c>
      <c r="V66" s="110">
        <f>G66-березень!G66</f>
        <v>71.94999999999999</v>
      </c>
      <c r="W66" s="111">
        <f>#N/A</f>
        <v>-2.5500000000000114</v>
      </c>
      <c r="X66" s="155">
        <f>#N/A</f>
        <v>0.9657718120805368</v>
      </c>
      <c r="Y66" s="197">
        <f>#N/A</f>
        <v>-0.16336972471686617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223.42</v>
      </c>
      <c r="G67" s="94">
        <v>184.51</v>
      </c>
      <c r="H67" s="71">
        <f>#N/A</f>
        <v>-38.91</v>
      </c>
      <c r="I67" s="209">
        <f>#N/A</f>
        <v>0.8258437024438278</v>
      </c>
      <c r="J67" s="72">
        <f>#N/A</f>
        <v>-543.69</v>
      </c>
      <c r="K67" s="75">
        <f>#N/A</f>
        <v>0.2533781928041747</v>
      </c>
      <c r="L67" s="72"/>
      <c r="M67" s="72"/>
      <c r="N67" s="72"/>
      <c r="O67" s="72">
        <v>760.62</v>
      </c>
      <c r="P67" s="72">
        <f>#N/A</f>
        <v>-32.41999999999996</v>
      </c>
      <c r="Q67" s="75">
        <f>#N/A</f>
        <v>0.957376876758434</v>
      </c>
      <c r="R67" s="72">
        <v>255.38</v>
      </c>
      <c r="S67" s="203">
        <f>#N/A</f>
        <v>-70.87</v>
      </c>
      <c r="T67" s="204">
        <f>#N/A</f>
        <v>0.7224919727464953</v>
      </c>
      <c r="U67" s="73">
        <f>F67-березень!F67</f>
        <v>63</v>
      </c>
      <c r="V67" s="98">
        <f>G67-березень!G67</f>
        <v>60.05</v>
      </c>
      <c r="W67" s="74">
        <f>#N/A</f>
        <v>-2.950000000000003</v>
      </c>
      <c r="X67" s="75">
        <f>#N/A</f>
        <v>0.9531746031746031</v>
      </c>
      <c r="Y67" s="197">
        <f>#N/A</f>
        <v>-0.23488490401193862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0.2</v>
      </c>
      <c r="G68" s="94">
        <v>0.06</v>
      </c>
      <c r="H68" s="71">
        <f>#N/A</f>
        <v>-0.14</v>
      </c>
      <c r="I68" s="209">
        <f>#N/A</f>
        <v>0.3</v>
      </c>
      <c r="J68" s="72">
        <f>#N/A</f>
        <v>-0.94</v>
      </c>
      <c r="K68" s="75">
        <f>#N/A</f>
        <v>0.06</v>
      </c>
      <c r="L68" s="72"/>
      <c r="M68" s="72"/>
      <c r="N68" s="72"/>
      <c r="O68" s="72">
        <v>0.18</v>
      </c>
      <c r="P68" s="72">
        <f>#N/A</f>
        <v>0.8200000000000001</v>
      </c>
      <c r="Q68" s="75">
        <f>#N/A</f>
        <v>5.555555555555555</v>
      </c>
      <c r="R68" s="72">
        <v>0.12</v>
      </c>
      <c r="S68" s="203">
        <f>#N/A</f>
        <v>-0.06</v>
      </c>
      <c r="T68" s="204">
        <f>#N/A</f>
        <v>0.5</v>
      </c>
      <c r="U68" s="73">
        <f>F68-березень!F68</f>
        <v>0.1</v>
      </c>
      <c r="V68" s="98">
        <f>G68-березень!G68</f>
        <v>0</v>
      </c>
      <c r="W68" s="74">
        <f>#N/A</f>
        <v>-0.1</v>
      </c>
      <c r="X68" s="75"/>
      <c r="Y68" s="197">
        <f>#N/A</f>
        <v>-5.055555555555555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>#N/A</f>
        <v>0</v>
      </c>
      <c r="I69" s="209" t="e">
        <f>#N/A</f>
        <v>#DIV/0!</v>
      </c>
      <c r="J69" s="72">
        <f>#N/A</f>
        <v>0</v>
      </c>
      <c r="K69" s="75" t="e">
        <f>#N/A</f>
        <v>#DIV/0!</v>
      </c>
      <c r="L69" s="72"/>
      <c r="M69" s="72"/>
      <c r="N69" s="72"/>
      <c r="O69" s="72">
        <v>0</v>
      </c>
      <c r="P69" s="72">
        <f>#N/A</f>
        <v>0</v>
      </c>
      <c r="Q69" s="75" t="e">
        <f>#N/A</f>
        <v>#DIV/0!</v>
      </c>
      <c r="R69" s="72">
        <f>O69</f>
        <v>0</v>
      </c>
      <c r="S69" s="203">
        <f>#N/A</f>
        <v>0</v>
      </c>
      <c r="T69" s="204" t="e">
        <f>#N/A</f>
        <v>#DIV/0!</v>
      </c>
      <c r="U69" s="73">
        <f>F69-березень!F69</f>
        <v>0</v>
      </c>
      <c r="V69" s="98">
        <f>G69-березень!G69</f>
        <v>0</v>
      </c>
      <c r="W69" s="74">
        <f>#N/A</f>
        <v>0</v>
      </c>
      <c r="X69" s="75"/>
      <c r="Y69" s="197" t="e">
        <f>#N/A</f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46.02</v>
      </c>
      <c r="G70" s="94">
        <v>47.69</v>
      </c>
      <c r="H70" s="71">
        <f>#N/A</f>
        <v>1.6699999999999946</v>
      </c>
      <c r="I70" s="209">
        <f>#N/A</f>
        <v>1.0362885701868751</v>
      </c>
      <c r="J70" s="72">
        <f>#N/A</f>
        <v>-89.11000000000001</v>
      </c>
      <c r="K70" s="75">
        <f>#N/A</f>
        <v>0.34861111111111104</v>
      </c>
      <c r="L70" s="72"/>
      <c r="M70" s="72"/>
      <c r="N70" s="72"/>
      <c r="O70" s="72">
        <v>135.42</v>
      </c>
      <c r="P70" s="72">
        <f>#N/A</f>
        <v>1.3800000000000239</v>
      </c>
      <c r="Q70" s="75">
        <f>#N/A</f>
        <v>1.01019051838724</v>
      </c>
      <c r="R70" s="72">
        <v>33.77</v>
      </c>
      <c r="S70" s="203">
        <f>#N/A</f>
        <v>13.919999999999995</v>
      </c>
      <c r="T70" s="204">
        <f>#N/A</f>
        <v>1.4122001776724902</v>
      </c>
      <c r="U70" s="73">
        <f>F70-березень!F70</f>
        <v>11.400000000000006</v>
      </c>
      <c r="V70" s="98">
        <f>G70-березень!G70</f>
        <v>11.899999999999999</v>
      </c>
      <c r="W70" s="74">
        <f>#N/A</f>
        <v>0.4999999999999929</v>
      </c>
      <c r="X70" s="75">
        <f>#N/A</f>
        <v>1.0438596491228063</v>
      </c>
      <c r="Y70" s="197">
        <f>#N/A</f>
        <v>0.40200965928525023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</v>
      </c>
      <c r="H71" s="102">
        <f>#N/A</f>
        <v>-1.5</v>
      </c>
      <c r="I71" s="213">
        <f>#N/A</f>
        <v>0</v>
      </c>
      <c r="J71" s="115">
        <f>#N/A</f>
        <v>-3</v>
      </c>
      <c r="K71" s="155">
        <f>#N/A</f>
        <v>0</v>
      </c>
      <c r="L71" s="115"/>
      <c r="M71" s="115"/>
      <c r="N71" s="115"/>
      <c r="O71" s="115">
        <v>2.04</v>
      </c>
      <c r="P71" s="115">
        <f>#N/A</f>
        <v>0.96</v>
      </c>
      <c r="Q71" s="155">
        <f>#N/A</f>
        <v>1.4705882352941175</v>
      </c>
      <c r="R71" s="115">
        <v>2.04</v>
      </c>
      <c r="S71" s="115">
        <f>#N/A</f>
        <v>-2.04</v>
      </c>
      <c r="T71" s="155">
        <f>#N/A</f>
        <v>0</v>
      </c>
      <c r="U71" s="107">
        <f>F71-березень!F71</f>
        <v>0</v>
      </c>
      <c r="V71" s="110">
        <f>G71-березень!G71</f>
        <v>0</v>
      </c>
      <c r="W71" s="111">
        <f>#N/A</f>
        <v>0</v>
      </c>
      <c r="X71" s="155"/>
      <c r="Y71" s="197">
        <f>#N/A</f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2608.65</v>
      </c>
      <c r="G72" s="106">
        <v>2034.03</v>
      </c>
      <c r="H72" s="102">
        <f>#N/A</f>
        <v>-574.6200000000001</v>
      </c>
      <c r="I72" s="213">
        <f>#N/A</f>
        <v>0.7797251451900408</v>
      </c>
      <c r="J72" s="115">
        <f>#N/A</f>
        <v>-6135.97</v>
      </c>
      <c r="K72" s="155">
        <f>#N/A</f>
        <v>0.24896328029375764</v>
      </c>
      <c r="L72" s="115"/>
      <c r="M72" s="115"/>
      <c r="N72" s="115"/>
      <c r="O72" s="115">
        <v>8086.92</v>
      </c>
      <c r="P72" s="115">
        <f>#N/A</f>
        <v>83.07999999999993</v>
      </c>
      <c r="Q72" s="155">
        <f>#N/A</f>
        <v>1.0102733797292418</v>
      </c>
      <c r="R72" s="115">
        <v>3536.21</v>
      </c>
      <c r="S72" s="115">
        <f>#N/A</f>
        <v>-1502.18</v>
      </c>
      <c r="T72" s="155">
        <f>#N/A</f>
        <v>0.5752005678395796</v>
      </c>
      <c r="U72" s="107">
        <f>F72-березень!F72</f>
        <v>680</v>
      </c>
      <c r="V72" s="110">
        <f>G72-березень!G72</f>
        <v>535.3299999999999</v>
      </c>
      <c r="W72" s="111">
        <f>#N/A</f>
        <v>-144.67000000000007</v>
      </c>
      <c r="X72" s="155">
        <f>#N/A</f>
        <v>0.7872499999999999</v>
      </c>
      <c r="Y72" s="197">
        <f>#N/A</f>
        <v>-0.4350728118896622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>#N/A</f>
        <v>0</v>
      </c>
      <c r="I73" s="213" t="e">
        <f>G73/F73*100</f>
        <v>#DIV/0!</v>
      </c>
      <c r="J73" s="115">
        <f>#N/A</f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>#N/A</f>
        <v>0</v>
      </c>
      <c r="T73" s="155" t="e">
        <f>#N/A</f>
        <v>#DIV/0!</v>
      </c>
      <c r="U73" s="107">
        <f>F73-березень!F73</f>
        <v>0</v>
      </c>
      <c r="V73" s="110">
        <f>G73-березень!G73</f>
        <v>0</v>
      </c>
      <c r="W73" s="111">
        <f>#N/A</f>
        <v>0</v>
      </c>
      <c r="X73" s="155" t="e">
        <f>#N/A</f>
        <v>#DIV/0!</v>
      </c>
      <c r="Y73" s="197" t="e">
        <f>#N/A</f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>#N/A</f>
        <v>0</v>
      </c>
      <c r="U74" s="107">
        <f>F74-березень!F74</f>
        <v>0</v>
      </c>
      <c r="V74" s="110">
        <f>G74-березень!G74</f>
        <v>0</v>
      </c>
      <c r="W74" s="116">
        <f>#N/A</f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>#N/A</f>
        <v>0</v>
      </c>
      <c r="I75" s="213" t="e">
        <f>G75/F75*100</f>
        <v>#DIV/0!</v>
      </c>
      <c r="J75" s="115">
        <f>#N/A</f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>#N/A</f>
        <v>0</v>
      </c>
      <c r="T75" s="155" t="e">
        <f>#N/A</f>
        <v>#DIV/0!</v>
      </c>
      <c r="U75" s="107">
        <f>F75-березень!F75</f>
        <v>0</v>
      </c>
      <c r="V75" s="110">
        <f>G75-березень!G75</f>
        <v>0</v>
      </c>
      <c r="W75" s="111">
        <f>#N/A</f>
        <v>0</v>
      </c>
      <c r="X75" s="155" t="e">
        <f>#N/A</f>
        <v>#DIV/0!</v>
      </c>
      <c r="Y75" s="197" t="e">
        <f>#N/A</f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20</v>
      </c>
      <c r="G76" s="106">
        <v>0</v>
      </c>
      <c r="H76" s="102">
        <f>#N/A</f>
        <v>-20</v>
      </c>
      <c r="I76" s="213">
        <f>G76/F76</f>
        <v>0</v>
      </c>
      <c r="J76" s="115">
        <f>#N/A</f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54.64</v>
      </c>
      <c r="S76" s="115">
        <f>#N/A</f>
        <v>-54.64</v>
      </c>
      <c r="T76" s="155">
        <f>#N/A</f>
        <v>0</v>
      </c>
      <c r="U76" s="107">
        <f>F76-березень!F76</f>
        <v>20</v>
      </c>
      <c r="V76" s="110">
        <f>G76-березень!G76</f>
        <v>0</v>
      </c>
      <c r="W76" s="111">
        <f>#N/A</f>
        <v>-20</v>
      </c>
      <c r="X76" s="155">
        <f>#N/A</f>
        <v>0</v>
      </c>
      <c r="Y76" s="197">
        <f>#N/A</f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3">
        <v>35</v>
      </c>
      <c r="E77" s="102">
        <v>35</v>
      </c>
      <c r="F77" s="102">
        <v>12.47</v>
      </c>
      <c r="G77" s="106">
        <v>4.74</v>
      </c>
      <c r="H77" s="102">
        <f>#N/A</f>
        <v>-7.73</v>
      </c>
      <c r="I77" s="213">
        <f>G77/F77</f>
        <v>0.38011226944667204</v>
      </c>
      <c r="J77" s="115">
        <f>#N/A</f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16.85</v>
      </c>
      <c r="S77" s="115">
        <f>#N/A</f>
        <v>-12.110000000000001</v>
      </c>
      <c r="T77" s="155">
        <f>#N/A</f>
        <v>0.2813056379821958</v>
      </c>
      <c r="U77" s="107">
        <f>F77-березень!F77</f>
        <v>2.9000000000000004</v>
      </c>
      <c r="V77" s="110">
        <f>G77-березень!G77</f>
        <v>0</v>
      </c>
      <c r="W77" s="111">
        <f>#N/A</f>
        <v>-2.9000000000000004</v>
      </c>
      <c r="X77" s="155">
        <f>#N/A</f>
        <v>0</v>
      </c>
      <c r="Y77" s="197">
        <f>#N/A</f>
        <v>-0.7414880499196159</v>
      </c>
    </row>
    <row r="78" spans="1:25" s="6" customFormat="1" ht="30.75">
      <c r="A78" s="8"/>
      <c r="B78" s="89" t="s">
        <v>49</v>
      </c>
      <c r="C78" s="34">
        <v>31020000</v>
      </c>
      <c r="D78" s="229"/>
      <c r="E78" s="102">
        <v>0</v>
      </c>
      <c r="F78" s="102">
        <f>E78</f>
        <v>0</v>
      </c>
      <c r="G78" s="106">
        <v>0.5</v>
      </c>
      <c r="H78" s="102">
        <f>#N/A</f>
        <v>0.5</v>
      </c>
      <c r="I78" s="213" t="e">
        <f>G78/F78</f>
        <v>#DIV/0!</v>
      </c>
      <c r="J78" s="115">
        <f>#N/A</f>
        <v>0.5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-5.25</v>
      </c>
      <c r="S78" s="115">
        <f>#N/A</f>
        <v>5.75</v>
      </c>
      <c r="T78" s="155">
        <f>#N/A</f>
        <v>-0.09523809523809523</v>
      </c>
      <c r="U78" s="107">
        <f>F78-березень!F78</f>
        <v>0</v>
      </c>
      <c r="V78" s="110">
        <f>G78-березень!G78</f>
        <v>0.04999999999999999</v>
      </c>
      <c r="W78" s="111">
        <f>#N/A</f>
        <v>0.04999999999999999</v>
      </c>
      <c r="X78" s="155"/>
      <c r="Y78" s="197">
        <f>#N/A</f>
        <v>-0.09523809523809523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489226.36</v>
      </c>
      <c r="G79" s="103">
        <f>G8+G53+G77+G78</f>
        <v>514843.41</v>
      </c>
      <c r="H79" s="103">
        <f>G79-F79</f>
        <v>25617.04999999999</v>
      </c>
      <c r="I79" s="210">
        <f>G79/F79</f>
        <v>1.0523623665740334</v>
      </c>
      <c r="J79" s="104">
        <f>G79-E79</f>
        <v>-1113074.29</v>
      </c>
      <c r="K79" s="156">
        <f>G79/E79</f>
        <v>0.31625886861479546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419761.75</v>
      </c>
      <c r="S79" s="104">
        <f>G79-R79</f>
        <v>95081.65999999997</v>
      </c>
      <c r="T79" s="156">
        <f>G79/R79</f>
        <v>1.2265133971830449</v>
      </c>
      <c r="U79" s="103">
        <f>U8+U53+U77+U78</f>
        <v>117030.803</v>
      </c>
      <c r="V79" s="103">
        <f>V8+V53+V77+V78</f>
        <v>136222.63</v>
      </c>
      <c r="W79" s="135">
        <f>V79-U79</f>
        <v>19191.827000000005</v>
      </c>
      <c r="X79" s="156">
        <f>V79/U79</f>
        <v>1.1639895353020864</v>
      </c>
      <c r="Y79" s="197">
        <f>#N/A</f>
        <v>0.06288093166558384</v>
      </c>
    </row>
    <row r="80" spans="1:25" s="39" customFormat="1" ht="17.25" hidden="1">
      <c r="A80" s="36"/>
      <c r="B80" s="43"/>
      <c r="C80" s="51"/>
      <c r="D80" s="239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>#N/A</f>
        <v>0</v>
      </c>
    </row>
    <row r="81" spans="1:25" s="39" customFormat="1" ht="17.25" hidden="1">
      <c r="A81" s="36"/>
      <c r="B81" s="44"/>
      <c r="C81" s="51"/>
      <c r="D81" s="239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>#N/A</f>
        <v>0</v>
      </c>
    </row>
    <row r="82" spans="1:25" s="39" customFormat="1" ht="17.25" hidden="1">
      <c r="A82" s="36"/>
      <c r="B82" s="44"/>
      <c r="C82" s="51"/>
      <c r="D82" s="239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>#N/A</f>
        <v>0</v>
      </c>
    </row>
    <row r="83" spans="2:25" ht="15">
      <c r="B83" s="19" t="s">
        <v>91</v>
      </c>
      <c r="C83" s="52"/>
      <c r="D83" s="240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>#N/A</f>
        <v>0</v>
      </c>
    </row>
    <row r="84" spans="2:25" ht="25.5" customHeight="1" hidden="1">
      <c r="B84" s="165" t="s">
        <v>87</v>
      </c>
      <c r="C84" s="90">
        <v>12020000</v>
      </c>
      <c r="D84" s="241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F84-березень!F84</f>
        <v>0</v>
      </c>
      <c r="V84" s="110">
        <f>G84-березень!G84</f>
        <v>0</v>
      </c>
      <c r="W84" s="117"/>
      <c r="X84" s="147"/>
      <c r="Y84" s="197" t="e">
        <f>#N/A</f>
        <v>#DIV/0!</v>
      </c>
    </row>
    <row r="85" spans="2:25" ht="31.5" hidden="1">
      <c r="B85" s="20" t="s">
        <v>52</v>
      </c>
      <c r="C85" s="58">
        <v>18041500</v>
      </c>
      <c r="D85" s="242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F85-березень!F85</f>
        <v>0</v>
      </c>
      <c r="V85" s="110">
        <f>G85-березень!G85</f>
        <v>0</v>
      </c>
      <c r="W85" s="117">
        <f>V85-U85</f>
        <v>0</v>
      </c>
      <c r="X85" s="147"/>
      <c r="Y85" s="197" t="e">
        <f>#N/A</f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>#N/A</f>
        <v>0.01</v>
      </c>
      <c r="T86" s="151" t="e">
        <f>#N/A</f>
        <v>#DIV/0!</v>
      </c>
      <c r="U86" s="129">
        <f>F86-березень!F86</f>
        <v>0</v>
      </c>
      <c r="V86" s="174">
        <f>G86-березень!G86</f>
        <v>0</v>
      </c>
      <c r="W86" s="131">
        <f>V86-U86</f>
        <v>0</v>
      </c>
      <c r="X86" s="151"/>
      <c r="Y86" s="197" t="e">
        <f>#N/A</f>
        <v>#DIV/0!</v>
      </c>
    </row>
    <row r="87" spans="2:25" ht="45.75">
      <c r="B87" s="22" t="s">
        <v>32</v>
      </c>
      <c r="C87" s="90">
        <v>21110000</v>
      </c>
      <c r="D87" s="241">
        <v>0</v>
      </c>
      <c r="E87" s="127">
        <v>0</v>
      </c>
      <c r="F87" s="127">
        <v>0</v>
      </c>
      <c r="G87" s="128">
        <v>9.43</v>
      </c>
      <c r="H87" s="129">
        <f>#N/A</f>
        <v>9.43</v>
      </c>
      <c r="I87" s="216"/>
      <c r="J87" s="131">
        <f>G87-E87</f>
        <v>9.43</v>
      </c>
      <c r="K87" s="151"/>
      <c r="L87" s="131"/>
      <c r="M87" s="131"/>
      <c r="N87" s="131"/>
      <c r="O87" s="131">
        <v>35.57</v>
      </c>
      <c r="P87" s="131">
        <f>#N/A</f>
        <v>-35.57</v>
      </c>
      <c r="Q87" s="151">
        <f>#N/A</f>
        <v>0</v>
      </c>
      <c r="R87" s="131">
        <v>35.57</v>
      </c>
      <c r="S87" s="131">
        <f>#N/A</f>
        <v>-26.14</v>
      </c>
      <c r="T87" s="147"/>
      <c r="U87" s="129">
        <f>F87-березень!F87</f>
        <v>0</v>
      </c>
      <c r="V87" s="174">
        <f>G87-березень!G87</f>
        <v>9.43</v>
      </c>
      <c r="W87" s="131">
        <f>#N/A</f>
        <v>9.43</v>
      </c>
      <c r="X87" s="151"/>
      <c r="Y87" s="197"/>
    </row>
    <row r="88" spans="2:25" ht="31.5">
      <c r="B88" s="20" t="s">
        <v>28</v>
      </c>
      <c r="C88" s="58">
        <v>31030000</v>
      </c>
      <c r="D88" s="256">
        <v>5000</v>
      </c>
      <c r="E88" s="125">
        <f>5000+3318.039</f>
        <v>8318.039</v>
      </c>
      <c r="F88" s="125">
        <v>806.429</v>
      </c>
      <c r="G88" s="126">
        <v>1570.86</v>
      </c>
      <c r="H88" s="112">
        <f>#N/A</f>
        <v>764.4309999999999</v>
      </c>
      <c r="I88" s="213">
        <f>G88/F88</f>
        <v>1.9479210197053924</v>
      </c>
      <c r="J88" s="117">
        <f>G88-E88</f>
        <v>-6747.179000000001</v>
      </c>
      <c r="K88" s="147">
        <f>G88/E88</f>
        <v>0.1888497998145957</v>
      </c>
      <c r="L88" s="117"/>
      <c r="M88" s="117"/>
      <c r="N88" s="117"/>
      <c r="O88" s="117">
        <v>938.14</v>
      </c>
      <c r="P88" s="117">
        <f>#N/A</f>
        <v>7379.899</v>
      </c>
      <c r="Q88" s="147">
        <f>#N/A</f>
        <v>8.866522054277613</v>
      </c>
      <c r="R88" s="117">
        <v>0.12</v>
      </c>
      <c r="S88" s="117">
        <f>#N/A</f>
        <v>1570.74</v>
      </c>
      <c r="T88" s="147">
        <f>#N/A</f>
        <v>13090.5</v>
      </c>
      <c r="U88" s="112">
        <f>F88-березень!F88</f>
        <v>0</v>
      </c>
      <c r="V88" s="118">
        <f>G88-березень!G88</f>
        <v>764.3999999999999</v>
      </c>
      <c r="W88" s="117">
        <f>#N/A</f>
        <v>764.3999999999999</v>
      </c>
      <c r="X88" s="147" t="e">
        <f>V88/U88</f>
        <v>#DIV/0!</v>
      </c>
      <c r="Y88" s="197">
        <f>#N/A</f>
        <v>13081.633477945723</v>
      </c>
    </row>
    <row r="89" spans="2:25" ht="18">
      <c r="B89" s="20" t="s">
        <v>29</v>
      </c>
      <c r="C89" s="58">
        <v>33010000</v>
      </c>
      <c r="D89" s="256">
        <v>16449</v>
      </c>
      <c r="E89" s="125">
        <v>16449</v>
      </c>
      <c r="F89" s="125">
        <v>3015</v>
      </c>
      <c r="G89" s="126">
        <v>1461.36</v>
      </c>
      <c r="H89" s="112">
        <f>#N/A</f>
        <v>-1553.64</v>
      </c>
      <c r="I89" s="213">
        <f>G89/F89</f>
        <v>0.4846965174129353</v>
      </c>
      <c r="J89" s="117">
        <f>#N/A</f>
        <v>-14987.64</v>
      </c>
      <c r="K89" s="147">
        <f>G89/E89</f>
        <v>0.08884187488601131</v>
      </c>
      <c r="L89" s="117"/>
      <c r="M89" s="117"/>
      <c r="N89" s="117"/>
      <c r="O89" s="117">
        <v>8143.65</v>
      </c>
      <c r="P89" s="117">
        <f>#N/A</f>
        <v>8305.35</v>
      </c>
      <c r="Q89" s="147">
        <f>#N/A</f>
        <v>2.0198559613932328</v>
      </c>
      <c r="R89" s="117">
        <v>302.92</v>
      </c>
      <c r="S89" s="117">
        <f>#N/A</f>
        <v>1158.4399999999998</v>
      </c>
      <c r="T89" s="147">
        <f>#N/A</f>
        <v>4.824244024825036</v>
      </c>
      <c r="U89" s="112">
        <f>F89-березень!F89</f>
        <v>1000</v>
      </c>
      <c r="V89" s="118">
        <f>G89-березень!G89</f>
        <v>259.64999999999986</v>
      </c>
      <c r="W89" s="117">
        <f>#N/A</f>
        <v>-740.3500000000001</v>
      </c>
      <c r="X89" s="147">
        <f>V89/U89</f>
        <v>0.2596499999999999</v>
      </c>
      <c r="Y89" s="197">
        <f>#N/A</f>
        <v>2.804388063431803</v>
      </c>
    </row>
    <row r="90" spans="2:25" ht="31.5">
      <c r="B90" s="20" t="s">
        <v>48</v>
      </c>
      <c r="C90" s="58">
        <v>24170000</v>
      </c>
      <c r="D90" s="256">
        <v>22000</v>
      </c>
      <c r="E90" s="125">
        <f>22000+15</f>
        <v>22015</v>
      </c>
      <c r="F90" s="125">
        <v>8000</v>
      </c>
      <c r="G90" s="126">
        <v>1748.37</v>
      </c>
      <c r="H90" s="112">
        <f>#N/A</f>
        <v>-6251.63</v>
      </c>
      <c r="I90" s="213">
        <f>G90/F90</f>
        <v>0.21854625</v>
      </c>
      <c r="J90" s="117">
        <f>#N/A</f>
        <v>-20266.63</v>
      </c>
      <c r="K90" s="147">
        <f>G90/E90</f>
        <v>0.07941721553486258</v>
      </c>
      <c r="L90" s="117"/>
      <c r="M90" s="117"/>
      <c r="N90" s="117"/>
      <c r="O90" s="117">
        <v>17305.88</v>
      </c>
      <c r="P90" s="117">
        <f>#N/A</f>
        <v>4709.119999999999</v>
      </c>
      <c r="Q90" s="147">
        <f>#N/A</f>
        <v>1.2721109819321526</v>
      </c>
      <c r="R90" s="117">
        <v>1821.45</v>
      </c>
      <c r="S90" s="117">
        <f>#N/A</f>
        <v>-73.08000000000015</v>
      </c>
      <c r="T90" s="147">
        <f>#N/A</f>
        <v>0.9598781190809519</v>
      </c>
      <c r="U90" s="112">
        <f>F90-березень!F90</f>
        <v>2000</v>
      </c>
      <c r="V90" s="118">
        <f>G90-березень!G90</f>
        <v>290.5799999999999</v>
      </c>
      <c r="W90" s="117">
        <f>#N/A</f>
        <v>-1709.42</v>
      </c>
      <c r="X90" s="147">
        <f>V90/U90</f>
        <v>0.14528999999999997</v>
      </c>
      <c r="Y90" s="197">
        <f>#N/A</f>
        <v>-0.31223286285120067</v>
      </c>
    </row>
    <row r="91" spans="2:25" ht="18">
      <c r="B91" s="20" t="s">
        <v>88</v>
      </c>
      <c r="C91" s="58">
        <v>24110700</v>
      </c>
      <c r="D91" s="256">
        <v>24</v>
      </c>
      <c r="E91" s="125">
        <v>24</v>
      </c>
      <c r="F91" s="125">
        <v>8</v>
      </c>
      <c r="G91" s="126">
        <v>4</v>
      </c>
      <c r="H91" s="112">
        <f>#N/A</f>
        <v>-4</v>
      </c>
      <c r="I91" s="213">
        <f>G91/F91</f>
        <v>0.5</v>
      </c>
      <c r="J91" s="117">
        <f>#N/A</f>
        <v>-20</v>
      </c>
      <c r="K91" s="147">
        <f>G91/E91</f>
        <v>0.16666666666666666</v>
      </c>
      <c r="L91" s="117"/>
      <c r="M91" s="117"/>
      <c r="N91" s="117"/>
      <c r="O91" s="117">
        <v>20</v>
      </c>
      <c r="P91" s="117">
        <f>#N/A</f>
        <v>4</v>
      </c>
      <c r="Q91" s="147">
        <f>#N/A</f>
        <v>1.2</v>
      </c>
      <c r="R91" s="117">
        <v>5</v>
      </c>
      <c r="S91" s="117">
        <f>#N/A</f>
        <v>-1</v>
      </c>
      <c r="T91" s="147">
        <f>#N/A</f>
        <v>0.8</v>
      </c>
      <c r="U91" s="112">
        <f>F91-березень!F91</f>
        <v>2</v>
      </c>
      <c r="V91" s="118">
        <f>G91-березень!G91</f>
        <v>1</v>
      </c>
      <c r="W91" s="117">
        <f>#N/A</f>
        <v>-1</v>
      </c>
      <c r="X91" s="147">
        <f>V91/U91</f>
        <v>0.5</v>
      </c>
      <c r="Y91" s="197">
        <f>#N/A</f>
        <v>-0.3999999999999999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46806.039000000004</v>
      </c>
      <c r="F92" s="127">
        <f>F88+F89+F90+F91</f>
        <v>11829.429</v>
      </c>
      <c r="G92" s="128">
        <f>G88+G89+G90+G91</f>
        <v>4784.59</v>
      </c>
      <c r="H92" s="129">
        <f>#N/A</f>
        <v>-7044.839</v>
      </c>
      <c r="I92" s="216">
        <f>G92/F92</f>
        <v>0.4044649999590006</v>
      </c>
      <c r="J92" s="131">
        <f>#N/A</f>
        <v>-42021.44900000001</v>
      </c>
      <c r="K92" s="151">
        <f>G92/E92</f>
        <v>0.10222163853685631</v>
      </c>
      <c r="L92" s="131"/>
      <c r="M92" s="131"/>
      <c r="N92" s="131"/>
      <c r="O92" s="131">
        <v>26407.66</v>
      </c>
      <c r="P92" s="131">
        <f>#N/A</f>
        <v>20398.379000000004</v>
      </c>
      <c r="Q92" s="151">
        <f>#N/A</f>
        <v>1.772441746069133</v>
      </c>
      <c r="R92" s="131">
        <v>2129.48</v>
      </c>
      <c r="S92" s="117">
        <f>#N/A</f>
        <v>2655.11</v>
      </c>
      <c r="T92" s="147">
        <f>#N/A</f>
        <v>2.24683490805267</v>
      </c>
      <c r="U92" s="129">
        <f>F92-березень!F92</f>
        <v>3002</v>
      </c>
      <c r="V92" s="174">
        <f>G92-березень!G92</f>
        <v>1315.63</v>
      </c>
      <c r="W92" s="131">
        <f>#N/A</f>
        <v>-1686.37</v>
      </c>
      <c r="X92" s="151">
        <f>V92/U92</f>
        <v>0.4382511658894071</v>
      </c>
      <c r="Y92" s="197">
        <f>#N/A</f>
        <v>0.4743931619835371</v>
      </c>
      <c r="AB92" s="4" t="s">
        <v>202</v>
      </c>
    </row>
    <row r="93" spans="2:25" ht="46.5">
      <c r="B93" s="12" t="s">
        <v>35</v>
      </c>
      <c r="C93" s="60">
        <v>24062100</v>
      </c>
      <c r="D93" s="257">
        <v>43</v>
      </c>
      <c r="E93" s="125">
        <v>43</v>
      </c>
      <c r="F93" s="125">
        <v>11</v>
      </c>
      <c r="G93" s="126">
        <v>1.3</v>
      </c>
      <c r="H93" s="112">
        <f>#N/A</f>
        <v>-9.7</v>
      </c>
      <c r="I93" s="213"/>
      <c r="J93" s="117">
        <f>#N/A</f>
        <v>-41.7</v>
      </c>
      <c r="K93" s="147"/>
      <c r="L93" s="117"/>
      <c r="M93" s="117"/>
      <c r="N93" s="117"/>
      <c r="O93" s="117">
        <v>49.17</v>
      </c>
      <c r="P93" s="117">
        <f>#N/A</f>
        <v>-6.170000000000002</v>
      </c>
      <c r="Q93" s="147">
        <f>#N/A</f>
        <v>0.8745169818995322</v>
      </c>
      <c r="R93" s="117">
        <v>9.25</v>
      </c>
      <c r="S93" s="117">
        <f>#N/A</f>
        <v>-7.95</v>
      </c>
      <c r="T93" s="147">
        <f>#N/A</f>
        <v>0.14054054054054055</v>
      </c>
      <c r="U93" s="112">
        <f>F93-березень!F93</f>
        <v>4</v>
      </c>
      <c r="V93" s="118">
        <f>G93-березень!G93</f>
        <v>0.06000000000000005</v>
      </c>
      <c r="W93" s="117">
        <f>#N/A</f>
        <v>-3.94</v>
      </c>
      <c r="X93" s="147"/>
      <c r="Y93" s="197">
        <f>#N/A</f>
        <v>-0.7339764413589916</v>
      </c>
    </row>
    <row r="94" spans="2:25" ht="18" hidden="1">
      <c r="B94" s="166" t="s">
        <v>47</v>
      </c>
      <c r="C94" s="58">
        <v>24061600</v>
      </c>
      <c r="D94" s="256"/>
      <c r="E94" s="125">
        <v>0</v>
      </c>
      <c r="F94" s="125">
        <f>E94</f>
        <v>0</v>
      </c>
      <c r="G94" s="126">
        <v>0</v>
      </c>
      <c r="H94" s="112">
        <f>#N/A</f>
        <v>0</v>
      </c>
      <c r="I94" s="213"/>
      <c r="J94" s="117">
        <f>#N/A</f>
        <v>0</v>
      </c>
      <c r="K94" s="224"/>
      <c r="L94" s="134"/>
      <c r="M94" s="134"/>
      <c r="N94" s="134"/>
      <c r="O94" s="134"/>
      <c r="P94" s="117">
        <f>#N/A</f>
        <v>0</v>
      </c>
      <c r="Q94" s="147" t="e">
        <f>#N/A</f>
        <v>#DIV/0!</v>
      </c>
      <c r="R94" s="117">
        <f>O94</f>
        <v>0</v>
      </c>
      <c r="S94" s="117">
        <f>#N/A</f>
        <v>0</v>
      </c>
      <c r="T94" s="147" t="e">
        <f>#N/A</f>
        <v>#DIV/0!</v>
      </c>
      <c r="U94" s="112">
        <f>F94-березень!F94</f>
        <v>0</v>
      </c>
      <c r="V94" s="118">
        <f>G94-березень!G94</f>
        <v>0</v>
      </c>
      <c r="W94" s="117">
        <f>#N/A</f>
        <v>0</v>
      </c>
      <c r="X94" s="224"/>
      <c r="Y94" s="197" t="e">
        <f>#N/A</f>
        <v>#DIV/0!</v>
      </c>
    </row>
    <row r="95" spans="2:25" ht="18">
      <c r="B95" s="20" t="s">
        <v>41</v>
      </c>
      <c r="C95" s="58">
        <v>19010000</v>
      </c>
      <c r="D95" s="256">
        <v>9050</v>
      </c>
      <c r="E95" s="125">
        <v>9050</v>
      </c>
      <c r="F95" s="125">
        <v>2833.45</v>
      </c>
      <c r="G95" s="126">
        <v>2603.7</v>
      </c>
      <c r="H95" s="112">
        <f>#N/A</f>
        <v>-229.75</v>
      </c>
      <c r="I95" s="213">
        <f>G95/F95</f>
        <v>0.9189151034957384</v>
      </c>
      <c r="J95" s="117">
        <f>#N/A</f>
        <v>-6446.3</v>
      </c>
      <c r="K95" s="147">
        <f>G95/E95</f>
        <v>0.2877016574585635</v>
      </c>
      <c r="L95" s="117"/>
      <c r="M95" s="117"/>
      <c r="N95" s="117"/>
      <c r="O95" s="117">
        <v>8033.94</v>
      </c>
      <c r="P95" s="117">
        <f>#N/A</f>
        <v>1016.0600000000004</v>
      </c>
      <c r="Q95" s="147">
        <f>#N/A</f>
        <v>1.1264709470073215</v>
      </c>
      <c r="R95" s="117">
        <v>2231.54</v>
      </c>
      <c r="S95" s="117">
        <f>#N/A</f>
        <v>372.15999999999985</v>
      </c>
      <c r="T95" s="147">
        <f>#N/A</f>
        <v>1.1667727219767514</v>
      </c>
      <c r="U95" s="112">
        <f>F95-березень!F95</f>
        <v>13.699999999999818</v>
      </c>
      <c r="V95" s="118">
        <f>G95-березень!G95</f>
        <v>102.34999999999991</v>
      </c>
      <c r="W95" s="117">
        <f>#N/A</f>
        <v>88.65000000000009</v>
      </c>
      <c r="X95" s="147">
        <f>V95/U95</f>
        <v>7.470802919708122</v>
      </c>
      <c r="Y95" s="197">
        <f>#N/A</f>
        <v>0.04030177496942988</v>
      </c>
    </row>
    <row r="96" spans="2:25" ht="31.5" hidden="1">
      <c r="B96" s="20" t="s">
        <v>45</v>
      </c>
      <c r="C96" s="58">
        <v>19050000</v>
      </c>
      <c r="D96" s="242"/>
      <c r="E96" s="125">
        <v>0</v>
      </c>
      <c r="F96" s="125">
        <v>0</v>
      </c>
      <c r="G96" s="126">
        <v>0</v>
      </c>
      <c r="H96" s="112">
        <f>#N/A</f>
        <v>0</v>
      </c>
      <c r="I96" s="213"/>
      <c r="J96" s="117">
        <f>#N/A</f>
        <v>0</v>
      </c>
      <c r="K96" s="147"/>
      <c r="L96" s="117"/>
      <c r="M96" s="117"/>
      <c r="N96" s="117"/>
      <c r="O96" s="117">
        <v>0.1</v>
      </c>
      <c r="P96" s="117">
        <f>#N/A</f>
        <v>-0.1</v>
      </c>
      <c r="Q96" s="147">
        <f>#N/A</f>
        <v>0</v>
      </c>
      <c r="R96" s="117">
        <v>0</v>
      </c>
      <c r="S96" s="117">
        <f>#N/A</f>
        <v>0</v>
      </c>
      <c r="T96" s="147" t="e">
        <f>#N/A</f>
        <v>#DIV/0!</v>
      </c>
      <c r="U96" s="112">
        <f>F96-січень!F96</f>
        <v>0</v>
      </c>
      <c r="V96" s="118">
        <f>G96-березень!G96</f>
        <v>0</v>
      </c>
      <c r="W96" s="117">
        <f>#N/A</f>
        <v>0</v>
      </c>
      <c r="X96" s="224"/>
      <c r="Y96" s="197" t="e">
        <f>#N/A</f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2844.45</v>
      </c>
      <c r="G97" s="128">
        <f>G93+G96+G94+G95</f>
        <v>2605</v>
      </c>
      <c r="H97" s="129">
        <f>#N/A</f>
        <v>-239.44999999999982</v>
      </c>
      <c r="I97" s="216">
        <f>G97/F97</f>
        <v>0.9158185237919457</v>
      </c>
      <c r="J97" s="131">
        <f>#N/A</f>
        <v>-6488</v>
      </c>
      <c r="K97" s="151">
        <f>G97/E97</f>
        <v>0.28648410865500934</v>
      </c>
      <c r="L97" s="131"/>
      <c r="M97" s="131"/>
      <c r="N97" s="131"/>
      <c r="O97" s="131">
        <v>8083.21</v>
      </c>
      <c r="P97" s="131">
        <f>#N/A</f>
        <v>1009.79</v>
      </c>
      <c r="Q97" s="151">
        <f>#N/A</f>
        <v>1.1249243802895137</v>
      </c>
      <c r="R97" s="131">
        <v>2240.82</v>
      </c>
      <c r="S97" s="117">
        <f>#N/A</f>
        <v>364.17999999999984</v>
      </c>
      <c r="T97" s="147">
        <f>#N/A</f>
        <v>1.1625208628984032</v>
      </c>
      <c r="U97" s="129">
        <f>F97-березень!F97</f>
        <v>17.699999999999818</v>
      </c>
      <c r="V97" s="174">
        <f>G97-березень!G97</f>
        <v>102.41000000000031</v>
      </c>
      <c r="W97" s="131">
        <f>#N/A</f>
        <v>84.71000000000049</v>
      </c>
      <c r="X97" s="151">
        <f>V97/U97</f>
        <v>5.7858757062147665</v>
      </c>
      <c r="Y97" s="197">
        <f>#N/A</f>
        <v>0.03759648260888948</v>
      </c>
    </row>
    <row r="98" spans="2:25" ht="30.75">
      <c r="B98" s="12" t="s">
        <v>36</v>
      </c>
      <c r="C98" s="34">
        <v>24110900</v>
      </c>
      <c r="D98" s="229">
        <v>19.413</v>
      </c>
      <c r="E98" s="125">
        <v>47.413</v>
      </c>
      <c r="F98" s="125">
        <v>13.99</v>
      </c>
      <c r="G98" s="126">
        <v>15.98</v>
      </c>
      <c r="H98" s="112">
        <f>#N/A</f>
        <v>1.9900000000000002</v>
      </c>
      <c r="I98" s="213">
        <f>G98/F98</f>
        <v>1.1422444603288062</v>
      </c>
      <c r="J98" s="117">
        <f>#N/A</f>
        <v>-31.432999999999996</v>
      </c>
      <c r="K98" s="147">
        <f>G98/E98</f>
        <v>0.3370383650053783</v>
      </c>
      <c r="L98" s="117"/>
      <c r="M98" s="117"/>
      <c r="N98" s="117"/>
      <c r="O98" s="117">
        <v>37.96</v>
      </c>
      <c r="P98" s="117">
        <f>#N/A</f>
        <v>9.452999999999996</v>
      </c>
      <c r="Q98" s="147">
        <f>#N/A</f>
        <v>1.2490252897787144</v>
      </c>
      <c r="R98" s="131">
        <v>7.6</v>
      </c>
      <c r="S98" s="117">
        <f>#N/A</f>
        <v>8.38</v>
      </c>
      <c r="T98" s="147">
        <f>#N/A</f>
        <v>2.1026315789473684</v>
      </c>
      <c r="U98" s="112">
        <f>F98-березень!F98</f>
        <v>5.86478</v>
      </c>
      <c r="V98" s="118">
        <f>G98-березень!G98</f>
        <v>3.0700000000000003</v>
      </c>
      <c r="W98" s="117">
        <f>#N/A</f>
        <v>-2.7947799999999994</v>
      </c>
      <c r="X98" s="147">
        <f>V98/U98</f>
        <v>0.523463795743404</v>
      </c>
      <c r="Y98" s="197">
        <f>#N/A</f>
        <v>0.853606289168654</v>
      </c>
    </row>
    <row r="99" spans="2:25" ht="18" hidden="1">
      <c r="B99" s="83"/>
      <c r="C99" s="34">
        <v>21110000</v>
      </c>
      <c r="D99" s="229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>#N/A</f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>#N/A</f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55946.452000000005</v>
      </c>
      <c r="F100" s="183">
        <f>F86+F87+F92+F97+F98</f>
        <v>14687.869</v>
      </c>
      <c r="G100" s="183">
        <f>G86+G87+G92+G97+G98</f>
        <v>7415.009999999999</v>
      </c>
      <c r="H100" s="184">
        <f>G100-F100</f>
        <v>-7272.859000000001</v>
      </c>
      <c r="I100" s="217">
        <f>G100/F100</f>
        <v>0.5048390614050274</v>
      </c>
      <c r="J100" s="177">
        <f>G100-E100</f>
        <v>-48531.442</v>
      </c>
      <c r="K100" s="178">
        <f>G100/E100</f>
        <v>0.13253762722969453</v>
      </c>
      <c r="L100" s="177"/>
      <c r="M100" s="177"/>
      <c r="N100" s="177"/>
      <c r="O100" s="177">
        <v>34561.77</v>
      </c>
      <c r="P100" s="177">
        <f>E100-O100</f>
        <v>21384.682000000008</v>
      </c>
      <c r="Q100" s="178">
        <f>E100/O100</f>
        <v>1.6187380449554525</v>
      </c>
      <c r="R100" s="183">
        <v>4413.47</v>
      </c>
      <c r="S100" s="177">
        <f>G100-R100</f>
        <v>3001.539999999999</v>
      </c>
      <c r="T100" s="178">
        <f>#N/A</f>
        <v>1.680086190684427</v>
      </c>
      <c r="U100" s="183">
        <f>U86+U87+U92+U97+U98</f>
        <v>3025.5647799999997</v>
      </c>
      <c r="V100" s="183">
        <f>V86+V87+V92+V97+V98</f>
        <v>1430.5400000000004</v>
      </c>
      <c r="W100" s="177">
        <f>V100-U100</f>
        <v>-1595.0247799999993</v>
      </c>
      <c r="X100" s="178">
        <f>V100/U100</f>
        <v>0.4728175081414058</v>
      </c>
      <c r="Y100" s="197">
        <f>T100-Q100</f>
        <v>0.061348145728974623</v>
      </c>
    </row>
    <row r="101" spans="2:25" ht="17.25">
      <c r="B101" s="185" t="s">
        <v>103</v>
      </c>
      <c r="C101" s="182"/>
      <c r="D101" s="251">
        <f>D79+D100</f>
        <v>1680503.113</v>
      </c>
      <c r="E101" s="183">
        <f>E79+E100</f>
        <v>1683864.152</v>
      </c>
      <c r="F101" s="183">
        <f>F79+F100</f>
        <v>503914.229</v>
      </c>
      <c r="G101" s="183">
        <f>G79+G100</f>
        <v>522258.42</v>
      </c>
      <c r="H101" s="184">
        <f>G101-F101</f>
        <v>18344.19099999999</v>
      </c>
      <c r="I101" s="217">
        <f>G101/F101</f>
        <v>1.036403399515833</v>
      </c>
      <c r="J101" s="177">
        <f>G101-E101</f>
        <v>-1161605.732</v>
      </c>
      <c r="K101" s="178">
        <f>G101/E101</f>
        <v>0.31015472321783827</v>
      </c>
      <c r="L101" s="177"/>
      <c r="M101" s="177"/>
      <c r="N101" s="177"/>
      <c r="O101" s="177">
        <f>O79+O100</f>
        <v>1433558.23</v>
      </c>
      <c r="P101" s="177">
        <f>E101-O101</f>
        <v>250305.92200000002</v>
      </c>
      <c r="Q101" s="178">
        <f>E101/O101</f>
        <v>1.1746046423241558</v>
      </c>
      <c r="R101" s="177">
        <f>R79+R100</f>
        <v>424175.22</v>
      </c>
      <c r="S101" s="177">
        <f>S79+S100</f>
        <v>98083.19999999997</v>
      </c>
      <c r="T101" s="178">
        <f>#N/A</f>
        <v>1.23123274386467</v>
      </c>
      <c r="U101" s="184">
        <f>U79+U100</f>
        <v>120056.36778</v>
      </c>
      <c r="V101" s="184">
        <f>V79+V100</f>
        <v>137653.17</v>
      </c>
      <c r="W101" s="177">
        <f>V101-U101</f>
        <v>17596.802220000012</v>
      </c>
      <c r="X101" s="178">
        <f>V101/U101</f>
        <v>1.146571169404739</v>
      </c>
      <c r="Y101" s="197">
        <f>T101-Q101</f>
        <v>0.05662810154051412</v>
      </c>
    </row>
    <row r="102" spans="2:24" ht="15">
      <c r="B102" s="262" t="s">
        <v>159</v>
      </c>
      <c r="D102" s="4"/>
      <c r="F102" s="78"/>
      <c r="G102" s="4"/>
      <c r="U102" s="226"/>
      <c r="V102" s="226"/>
      <c r="W102" s="226"/>
      <c r="X102" s="226"/>
    </row>
    <row r="103" spans="2:24" ht="15">
      <c r="B103" s="4" t="s">
        <v>160</v>
      </c>
      <c r="C103" s="264">
        <v>0</v>
      </c>
      <c r="D103" s="4" t="s">
        <v>161</v>
      </c>
      <c r="F103" s="78"/>
      <c r="G103" s="4"/>
      <c r="U103" s="226"/>
      <c r="V103" s="226"/>
      <c r="W103" s="226"/>
      <c r="X103" s="226"/>
    </row>
    <row r="104" spans="2:22" ht="30.75">
      <c r="B104" s="266" t="s">
        <v>162</v>
      </c>
      <c r="C104" s="267"/>
      <c r="D104" s="4" t="s">
        <v>24</v>
      </c>
      <c r="F104" s="78"/>
      <c r="G104" s="267">
        <f>IF(H79&lt;0,ABS(H79/C103),0)</f>
        <v>0</v>
      </c>
      <c r="H104" s="268"/>
      <c r="I104" s="268"/>
      <c r="J104" s="268"/>
      <c r="V104" s="267">
        <f>IF(W79&lt;0,ABS(W79/C103),0)</f>
        <v>0</v>
      </c>
    </row>
    <row r="105" spans="2:7" ht="30.75">
      <c r="B105" s="270" t="s">
        <v>163</v>
      </c>
      <c r="C105" s="271">
        <v>43217</v>
      </c>
      <c r="D105" s="267"/>
      <c r="E105" s="267">
        <v>15675.4</v>
      </c>
      <c r="F105" s="78"/>
      <c r="G105" s="4" t="s">
        <v>164</v>
      </c>
    </row>
    <row r="106" spans="3:10" ht="15">
      <c r="C106" s="271">
        <v>43216</v>
      </c>
      <c r="D106" s="267"/>
      <c r="E106" s="267">
        <v>15747.1</v>
      </c>
      <c r="F106" s="78"/>
      <c r="G106" s="500"/>
      <c r="H106" s="500"/>
      <c r="I106" s="273"/>
      <c r="J106" s="274"/>
    </row>
    <row r="107" spans="3:10" ht="15">
      <c r="C107" s="271">
        <v>43215</v>
      </c>
      <c r="D107" s="267"/>
      <c r="E107" s="267">
        <v>7760.3</v>
      </c>
      <c r="F107" s="78"/>
      <c r="G107" s="500"/>
      <c r="H107" s="500"/>
      <c r="I107" s="273"/>
      <c r="J107" s="276"/>
    </row>
    <row r="108" spans="3:10" ht="15">
      <c r="C108" s="271"/>
      <c r="D108" s="4"/>
      <c r="F108" s="278"/>
      <c r="G108" s="501"/>
      <c r="H108" s="501"/>
      <c r="I108" s="279"/>
      <c r="J108" s="274"/>
    </row>
    <row r="109" spans="2:10" ht="16.5">
      <c r="B109" s="502" t="s">
        <v>165</v>
      </c>
      <c r="C109" s="503"/>
      <c r="D109" s="280"/>
      <c r="E109" s="434">
        <f>'[1]залишки'!$G$6/1000</f>
        <v>1127.463</v>
      </c>
      <c r="F109" s="282" t="s">
        <v>166</v>
      </c>
      <c r="G109" s="500"/>
      <c r="H109" s="500"/>
      <c r="I109" s="283"/>
      <c r="J109" s="274"/>
    </row>
    <row r="110" spans="4:10" ht="15">
      <c r="D110" s="4"/>
      <c r="F110" s="278"/>
      <c r="G110" s="500"/>
      <c r="H110" s="500"/>
      <c r="I110" s="278"/>
      <c r="J110" s="281"/>
    </row>
    <row r="111" spans="2:10" ht="15" customHeight="1">
      <c r="B111" s="499"/>
      <c r="C111" s="499"/>
      <c r="D111" s="285"/>
      <c r="E111" s="286"/>
      <c r="F111" s="278"/>
      <c r="G111" s="500"/>
      <c r="H111" s="500"/>
      <c r="I111" s="278"/>
      <c r="J111" s="281"/>
    </row>
    <row r="112" spans="2:24" ht="15" hidden="1">
      <c r="B112" s="287" t="s">
        <v>168</v>
      </c>
      <c r="D112" s="278">
        <f>D60+D63+D64</f>
        <v>2095</v>
      </c>
      <c r="E112" s="278">
        <f>#N/A</f>
        <v>2095</v>
      </c>
      <c r="F112" s="278">
        <f>#N/A</f>
        <v>645</v>
      </c>
      <c r="G112" s="435">
        <f>#N/A</f>
        <v>662.3</v>
      </c>
      <c r="H112" s="278">
        <f>#N/A</f>
        <v>17.30000000000001</v>
      </c>
      <c r="I112" s="436">
        <f>G112/F112</f>
        <v>1.0268217054263564</v>
      </c>
      <c r="J112" s="278">
        <f>#N/A</f>
        <v>-1432.7</v>
      </c>
      <c r="K112" s="436">
        <f>G112/E112</f>
        <v>0.3161336515513126</v>
      </c>
      <c r="L112" s="278">
        <f>#N/A</f>
        <v>0</v>
      </c>
      <c r="M112" s="278">
        <f>#N/A</f>
        <v>0</v>
      </c>
      <c r="N112" s="278">
        <f>#N/A</f>
        <v>0</v>
      </c>
      <c r="O112" s="278">
        <f>#N/A</f>
        <v>1956.6200000000001</v>
      </c>
      <c r="P112" s="278">
        <f>#N/A</f>
        <v>138.37999999999994</v>
      </c>
      <c r="Q112" s="436">
        <f>E112/O112</f>
        <v>1.0707240036389283</v>
      </c>
      <c r="R112" s="278">
        <f>#N/A</f>
        <v>580.2</v>
      </c>
      <c r="S112" s="278">
        <f>#N/A</f>
        <v>82.09999999999998</v>
      </c>
      <c r="T112" s="436">
        <f>G112/R112</f>
        <v>1.1415029300241295</v>
      </c>
      <c r="U112" s="278">
        <f>#N/A</f>
        <v>168</v>
      </c>
      <c r="V112" s="288">
        <f>#N/A</f>
        <v>172.05000000000004</v>
      </c>
      <c r="W112" s="278">
        <f>#N/A</f>
        <v>4.050000000000029</v>
      </c>
      <c r="X112" s="436">
        <f>V112/U112</f>
        <v>1.024107142857143</v>
      </c>
    </row>
    <row r="113" spans="4:9" ht="15" hidden="1">
      <c r="D113" s="265"/>
      <c r="F113" s="78"/>
      <c r="G113" s="4"/>
      <c r="I113" s="267"/>
    </row>
    <row r="114" spans="2:10" ht="15" hidden="1">
      <c r="B114" s="4" t="s">
        <v>204</v>
      </c>
      <c r="D114" s="267">
        <f>D9+D15+D18+D19+D23+D54+D57+D59+D71+D77+D93+D95</f>
        <v>1592543.3</v>
      </c>
      <c r="E114" s="267">
        <f>E9+E15+E18+E19+E23+E54+E57+E59+E71+E77+E93+E95</f>
        <v>1592543.3</v>
      </c>
      <c r="F114" s="267">
        <f>F9+F15+F18+F19+F23+F54+F57+F59+F71+F77+F93+F95</f>
        <v>477722.87</v>
      </c>
      <c r="G114" s="289">
        <f>G9+G15+G18+G19+G23+G54+G57+G59+G71+G77+G93+G95</f>
        <v>501412.26999999996</v>
      </c>
      <c r="H114" s="267">
        <f>H9+H15+H18+H19+H23+H54+H57+H59+H71+H77+H93+H95</f>
        <v>23689.399999999998</v>
      </c>
      <c r="I114" s="163">
        <f>G114/F114</f>
        <v>1.04958816394953</v>
      </c>
      <c r="J114" s="267"/>
    </row>
    <row r="115" spans="2:10" ht="15" hidden="1">
      <c r="B115" s="4" t="s">
        <v>205</v>
      </c>
      <c r="D115" s="267">
        <f>D55+D58+D60+D63+D64+D65+D72+D76+D88+D89+D90+D91+D98</f>
        <v>65675.813</v>
      </c>
      <c r="E115" s="267">
        <f>E55+E58+E60+E63+E64+E65+E72+E76+E88+E89+E90+E91+E98</f>
        <v>69036.852</v>
      </c>
      <c r="F115" s="267">
        <f>F55+F58+F60+F63+F64+F65+F72+F76+F88+F89+F90+F91+F98</f>
        <v>18389.719</v>
      </c>
      <c r="G115" s="289">
        <f>G55+G58+G60+G63+G64+G65+G72+G76+G88+G89+G90+G91+G98</f>
        <v>12259.68</v>
      </c>
      <c r="H115" s="267">
        <f>H55+H58+H60+H63+H64+H65+H72+H76+H88+H89+H90+H91+H98</f>
        <v>-6130.039000000001</v>
      </c>
      <c r="I115" s="163">
        <f>G115/F115</f>
        <v>0.6666594524908184</v>
      </c>
      <c r="J115" s="267"/>
    </row>
    <row r="116" spans="2:10" ht="15" hidden="1">
      <c r="B116" s="4" t="s">
        <v>206</v>
      </c>
      <c r="D116" s="267">
        <f>D56+D62+D66+D78</f>
        <v>22284</v>
      </c>
      <c r="E116" s="267">
        <f>E56+E62+E66+E78</f>
        <v>22284</v>
      </c>
      <c r="F116" s="267">
        <f>F56+F62+F66+F78</f>
        <v>7801.64</v>
      </c>
      <c r="G116" s="289">
        <f>G56+G62+G66+G78</f>
        <v>8577.029999999999</v>
      </c>
      <c r="H116" s="267">
        <f>H56+H62+H66+H78</f>
        <v>775.3899999999992</v>
      </c>
      <c r="I116" s="163">
        <f>G116/F116</f>
        <v>1.0993880773786022</v>
      </c>
      <c r="J116" s="267"/>
    </row>
    <row r="117" spans="2:10" ht="15" hidden="1">
      <c r="B117" s="365" t="s">
        <v>207</v>
      </c>
      <c r="C117" s="438"/>
      <c r="D117" s="439">
        <f>D114+D115+D116</f>
        <v>1680503.1130000001</v>
      </c>
      <c r="E117" s="439">
        <f>E114+E115+E116</f>
        <v>1683864.152</v>
      </c>
      <c r="F117" s="439">
        <f>F114+F115+F116</f>
        <v>503914.229</v>
      </c>
      <c r="G117" s="440">
        <f>G114+G115+G116</f>
        <v>522248.98</v>
      </c>
      <c r="H117" s="439">
        <f>H114+H115+H116</f>
        <v>18334.750999999997</v>
      </c>
      <c r="I117" s="441">
        <f>G117/F117</f>
        <v>1.0363846661690514</v>
      </c>
      <c r="J117" s="267"/>
    </row>
    <row r="118" spans="4:10" ht="15" hidden="1">
      <c r="D118" s="267">
        <f>D117-D101</f>
        <v>0</v>
      </c>
      <c r="E118" s="267">
        <f>E117-E101</f>
        <v>0</v>
      </c>
      <c r="F118" s="267">
        <f>F117-F101</f>
        <v>0</v>
      </c>
      <c r="G118" s="289">
        <f>G117-G101</f>
        <v>-9.440000000002328</v>
      </c>
      <c r="H118" s="267">
        <f>H117-H101</f>
        <v>-9.439999999995052</v>
      </c>
      <c r="I118" s="163"/>
      <c r="J118" s="267"/>
    </row>
    <row r="119" spans="4:7" ht="15" hidden="1">
      <c r="D119" s="4"/>
      <c r="E119" s="4" t="s">
        <v>164</v>
      </c>
      <c r="F119" s="78"/>
      <c r="G119" s="4"/>
    </row>
    <row r="120" spans="2:7" ht="15" hidden="1">
      <c r="B120" s="272"/>
      <c r="D120" s="4"/>
      <c r="E120" s="267"/>
      <c r="F120" s="78"/>
      <c r="G120" s="4"/>
    </row>
    <row r="121" spans="2:8" ht="15" hidden="1">
      <c r="B121" s="272"/>
      <c r="D121" s="4"/>
      <c r="E121" s="267"/>
      <c r="F121" s="78"/>
      <c r="G121" s="4"/>
      <c r="H121" s="267"/>
    </row>
    <row r="122" spans="4:11" ht="15" hidden="1">
      <c r="D122" s="3"/>
      <c r="F122" s="78"/>
      <c r="G122" s="4"/>
      <c r="H122" s="267"/>
      <c r="I122" s="3"/>
      <c r="K122" s="3"/>
    </row>
    <row r="123" spans="2:12" ht="18" hidden="1">
      <c r="B123" s="83" t="s">
        <v>174</v>
      </c>
      <c r="C123" s="34">
        <v>25000000</v>
      </c>
      <c r="D123" s="125">
        <v>90449.655</v>
      </c>
      <c r="E123" s="458">
        <v>18102.06</v>
      </c>
      <c r="F123" s="458">
        <v>20254.32</v>
      </c>
      <c r="G123" s="459">
        <v>2152.2599999999984</v>
      </c>
      <c r="H123" s="114">
        <f>G123-F123</f>
        <v>-18102.06</v>
      </c>
      <c r="I123" s="147">
        <f>#N/A</f>
        <v>0.10626177526572102</v>
      </c>
      <c r="J123" s="117">
        <f>G123-E123</f>
        <v>-15949.800000000003</v>
      </c>
      <c r="K123" s="147">
        <f>G123/E123</f>
        <v>0.1188958604711286</v>
      </c>
      <c r="L123" s="3"/>
    </row>
    <row r="124" spans="2:12" ht="17.25" hidden="1">
      <c r="B124" s="13" t="s">
        <v>30</v>
      </c>
      <c r="C124" s="294"/>
      <c r="D124" s="295">
        <f>D123+D100</f>
        <v>143035.068</v>
      </c>
      <c r="E124" s="295">
        <f>#N/A</f>
        <v>74048.512</v>
      </c>
      <c r="F124" s="295">
        <f>#N/A</f>
        <v>34942.189</v>
      </c>
      <c r="G124" s="295">
        <f>#N/A</f>
        <v>9567.269999999997</v>
      </c>
      <c r="H124" s="295">
        <f>#N/A</f>
        <v>-25374.919</v>
      </c>
      <c r="I124" s="447">
        <f>#N/A</f>
        <v>0.27380282328619987</v>
      </c>
      <c r="J124" s="295">
        <f>#N/A</f>
        <v>-64481.242000000006</v>
      </c>
      <c r="K124" s="447">
        <f>G124/F124</f>
        <v>0.27380282328619987</v>
      </c>
      <c r="L124" s="3"/>
    </row>
    <row r="125" spans="2:12" ht="17.25" hidden="1">
      <c r="B125" s="302" t="s">
        <v>175</v>
      </c>
      <c r="C125" s="294"/>
      <c r="D125" s="295">
        <f>D101+D123</f>
        <v>1770952.768</v>
      </c>
      <c r="E125" s="295">
        <f>#N/A</f>
        <v>1701966.212</v>
      </c>
      <c r="F125" s="295">
        <f>#N/A</f>
        <v>524168.549</v>
      </c>
      <c r="G125" s="295">
        <f>#N/A</f>
        <v>524410.6799999999</v>
      </c>
      <c r="H125" s="295">
        <f>#N/A</f>
        <v>242.1309999999903</v>
      </c>
      <c r="I125" s="447">
        <f>#N/A</f>
        <v>1.0004619334762872</v>
      </c>
      <c r="J125" s="295">
        <f>#N/A</f>
        <v>-1177555.5320000001</v>
      </c>
      <c r="K125" s="447">
        <f>G125/F125</f>
        <v>1.0004619334762872</v>
      </c>
      <c r="L125" s="3"/>
    </row>
    <row r="126" spans="2:12" ht="15" hidden="1">
      <c r="B126" s="304" t="s">
        <v>176</v>
      </c>
      <c r="C126" s="305">
        <v>40000000</v>
      </c>
      <c r="D126" s="306">
        <v>1499675.196</v>
      </c>
      <c r="E126" s="306">
        <v>1499675.2</v>
      </c>
      <c r="F126" s="460">
        <v>322086.73</v>
      </c>
      <c r="G126" s="460"/>
      <c r="H126" s="306">
        <f>G126-F126</f>
        <v>-322086.73</v>
      </c>
      <c r="I126" s="448">
        <f>#N/A</f>
        <v>0</v>
      </c>
      <c r="J126" s="29">
        <f>G126-E126</f>
        <v>-1499675.2</v>
      </c>
      <c r="K126" s="448">
        <f>G126/E126</f>
        <v>0</v>
      </c>
      <c r="L126" s="3"/>
    </row>
    <row r="127" spans="2:12" ht="26.25" hidden="1">
      <c r="B127" s="450" t="s">
        <v>211</v>
      </c>
      <c r="C127" s="451">
        <v>41033900</v>
      </c>
      <c r="D127" s="452">
        <v>249086.1</v>
      </c>
      <c r="E127" s="453">
        <v>249086.1</v>
      </c>
      <c r="F127" s="453">
        <v>38359.2</v>
      </c>
      <c r="G127" s="452">
        <v>38359.2</v>
      </c>
      <c r="H127" s="452">
        <f>G127-F127</f>
        <v>0</v>
      </c>
      <c r="I127" s="145">
        <f>#N/A</f>
        <v>1</v>
      </c>
      <c r="J127" s="74">
        <f>G127-E127</f>
        <v>-210726.90000000002</v>
      </c>
      <c r="K127" s="145">
        <f>G127/E127</f>
        <v>0.15399976152824263</v>
      </c>
      <c r="L127" s="3"/>
    </row>
    <row r="128" spans="2:12" ht="26.25" hidden="1">
      <c r="B128" s="450" t="s">
        <v>212</v>
      </c>
      <c r="C128" s="451">
        <v>41034200</v>
      </c>
      <c r="D128" s="452">
        <v>226186</v>
      </c>
      <c r="E128" s="452">
        <v>226186</v>
      </c>
      <c r="F128" s="452">
        <v>44005.9</v>
      </c>
      <c r="G128" s="452">
        <v>44005.9</v>
      </c>
      <c r="H128" s="452">
        <f>G128-F128</f>
        <v>0</v>
      </c>
      <c r="I128" s="145">
        <f>#N/A</f>
        <v>1</v>
      </c>
      <c r="J128" s="74">
        <f>G128-E128</f>
        <v>-182180.1</v>
      </c>
      <c r="K128" s="145">
        <f>G128/E128</f>
        <v>0.19455625016579275</v>
      </c>
      <c r="L128" s="3"/>
    </row>
    <row r="129" spans="2:12" ht="15" hidden="1">
      <c r="B129" s="304" t="s">
        <v>208</v>
      </c>
      <c r="C129" s="305"/>
      <c r="D129" s="306">
        <v>0</v>
      </c>
      <c r="E129" s="306">
        <v>0</v>
      </c>
      <c r="F129" s="306">
        <v>0</v>
      </c>
      <c r="G129" s="306">
        <v>0</v>
      </c>
      <c r="H129" s="306">
        <f>G129-F129</f>
        <v>0</v>
      </c>
      <c r="I129" s="448" t="e">
        <f>#N/A</f>
        <v>#DIV/0!</v>
      </c>
      <c r="J129" s="29">
        <f>G129-E129</f>
        <v>0</v>
      </c>
      <c r="K129" s="448" t="e">
        <f>G129/E129</f>
        <v>#DIV/0!</v>
      </c>
      <c r="L129" s="3"/>
    </row>
    <row r="130" spans="2:12" ht="18" hidden="1">
      <c r="B130" s="312" t="s">
        <v>179</v>
      </c>
      <c r="C130" s="313"/>
      <c r="D130" s="314">
        <f>D125+D126+D129</f>
        <v>3270627.9639999997</v>
      </c>
      <c r="E130" s="314">
        <f>#N/A</f>
        <v>3201641.412</v>
      </c>
      <c r="F130" s="314">
        <f>#N/A</f>
        <v>846255.279</v>
      </c>
      <c r="G130" s="314">
        <f>#N/A</f>
        <v>524410.6799999999</v>
      </c>
      <c r="H130" s="314">
        <f>#N/A</f>
        <v>-321844.599</v>
      </c>
      <c r="I130" s="449">
        <f>#N/A</f>
        <v>0.6196837916564417</v>
      </c>
      <c r="J130" s="314">
        <f>#N/A</f>
        <v>-2677230.732</v>
      </c>
      <c r="K130" s="449">
        <f>G130/E130</f>
        <v>0.16379432063642982</v>
      </c>
      <c r="L130" s="3"/>
    </row>
    <row r="131" spans="4:7" ht="15" hidden="1">
      <c r="D131" s="4"/>
      <c r="F131" s="78"/>
      <c r="G131" s="4"/>
    </row>
    <row r="132" spans="4:7" ht="15" hidden="1">
      <c r="D132" s="4"/>
      <c r="F132" s="78"/>
      <c r="G132" s="4"/>
    </row>
    <row r="133" spans="4:7" ht="15" hidden="1">
      <c r="D133" s="267"/>
      <c r="F133" s="78"/>
      <c r="G133" s="4"/>
    </row>
    <row r="134" spans="4:7" ht="15" hidden="1">
      <c r="D134" s="267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2:7" ht="15" hidden="1">
      <c r="B137" s="320" t="s">
        <v>180</v>
      </c>
      <c r="D137" s="4"/>
      <c r="F137" s="78"/>
      <c r="G137" s="4"/>
    </row>
    <row r="138" spans="2:26" ht="30.75" hidden="1">
      <c r="B138" s="321" t="s">
        <v>181</v>
      </c>
      <c r="C138" s="322">
        <v>13010200</v>
      </c>
      <c r="D138" s="323">
        <f>D17</f>
        <v>0</v>
      </c>
      <c r="E138" s="323">
        <f>#N/A</f>
        <v>0</v>
      </c>
      <c r="F138" s="323">
        <f>#N/A</f>
        <v>0</v>
      </c>
      <c r="G138" s="323">
        <f>#N/A</f>
        <v>0</v>
      </c>
      <c r="H138" s="323">
        <f>#N/A</f>
        <v>0</v>
      </c>
      <c r="I138" s="357">
        <f>#N/A</f>
        <v>0</v>
      </c>
      <c r="J138" s="323">
        <f>#N/A</f>
        <v>0</v>
      </c>
      <c r="K138" s="357">
        <f>#N/A</f>
        <v>0</v>
      </c>
      <c r="L138" s="323">
        <f>#N/A</f>
        <v>0</v>
      </c>
      <c r="M138" s="323">
        <f>#N/A</f>
        <v>0</v>
      </c>
      <c r="N138" s="323">
        <f>#N/A</f>
        <v>0</v>
      </c>
      <c r="O138" s="323">
        <f>#N/A</f>
        <v>0.49</v>
      </c>
      <c r="P138" s="323">
        <f>#N/A</f>
        <v>-0.49</v>
      </c>
      <c r="Q138" s="357">
        <f>#N/A</f>
        <v>0</v>
      </c>
      <c r="R138" s="323">
        <f>#N/A</f>
        <v>0</v>
      </c>
      <c r="S138" s="323">
        <f>#N/A</f>
        <v>0</v>
      </c>
      <c r="T138" s="357" t="e">
        <f>#N/A</f>
        <v>#DIV/0!</v>
      </c>
      <c r="U138" s="323">
        <f>#N/A</f>
        <v>0</v>
      </c>
      <c r="V138" s="323">
        <f>#N/A</f>
        <v>0</v>
      </c>
      <c r="W138" s="323">
        <f>#N/A</f>
        <v>0</v>
      </c>
      <c r="X138" s="357">
        <f>#N/A</f>
        <v>0</v>
      </c>
      <c r="Y138" s="446" t="e">
        <f>T138-Q138</f>
        <v>#DIV/0!</v>
      </c>
      <c r="Z138" s="163"/>
    </row>
    <row r="139" spans="2:26" ht="30.75" hidden="1">
      <c r="B139" s="329" t="s">
        <v>182</v>
      </c>
      <c r="C139" s="322">
        <v>13030200</v>
      </c>
      <c r="D139" s="323">
        <f>D18</f>
        <v>235.6</v>
      </c>
      <c r="E139" s="323">
        <f>#N/A</f>
        <v>235.6</v>
      </c>
      <c r="F139" s="323">
        <f>#N/A</f>
        <v>120</v>
      </c>
      <c r="G139" s="323">
        <f>#N/A</f>
        <v>194.24</v>
      </c>
      <c r="H139" s="323">
        <f>#N/A</f>
        <v>74.24000000000001</v>
      </c>
      <c r="I139" s="357">
        <f>#N/A</f>
        <v>1.6186666666666667</v>
      </c>
      <c r="J139" s="323">
        <f>#N/A</f>
        <v>-41.359999999999985</v>
      </c>
      <c r="K139" s="357">
        <f>#N/A</f>
        <v>82.44482173174873</v>
      </c>
      <c r="L139" s="323">
        <f>#N/A</f>
        <v>0</v>
      </c>
      <c r="M139" s="323">
        <f>#N/A</f>
        <v>0</v>
      </c>
      <c r="N139" s="323">
        <f>#N/A</f>
        <v>0</v>
      </c>
      <c r="O139" s="323">
        <f>#N/A</f>
        <v>220.59</v>
      </c>
      <c r="P139" s="323">
        <f>#N/A</f>
        <v>15.009999999999991</v>
      </c>
      <c r="Q139" s="357">
        <f>#N/A</f>
        <v>1.0680447889750215</v>
      </c>
      <c r="R139" s="323">
        <f>#N/A</f>
        <v>118.46</v>
      </c>
      <c r="S139" s="323">
        <f>#N/A</f>
        <v>75.78000000000002</v>
      </c>
      <c r="T139" s="357">
        <f>#N/A</f>
        <v>1.639709606618268</v>
      </c>
      <c r="U139" s="323">
        <f>#N/A</f>
        <v>0</v>
      </c>
      <c r="V139" s="323">
        <f>#N/A</f>
        <v>0</v>
      </c>
      <c r="W139" s="323">
        <f>#N/A</f>
        <v>0</v>
      </c>
      <c r="X139" s="357" t="e">
        <f>#N/A</f>
        <v>#DIV/0!</v>
      </c>
      <c r="Y139" s="446">
        <f>#N/A</f>
        <v>0.5716648176432464</v>
      </c>
      <c r="Z139" s="163"/>
    </row>
    <row r="140" spans="2:26" ht="15" hidden="1">
      <c r="B140" s="331" t="s">
        <v>51</v>
      </c>
      <c r="C140" s="332">
        <v>21080500</v>
      </c>
      <c r="D140" s="333">
        <f>D56</f>
        <v>158</v>
      </c>
      <c r="E140" s="333">
        <f>#N/A</f>
        <v>158</v>
      </c>
      <c r="F140" s="333">
        <f>#N/A</f>
        <v>42</v>
      </c>
      <c r="G140" s="333">
        <f>#N/A</f>
        <v>51.82</v>
      </c>
      <c r="H140" s="333">
        <f>#N/A</f>
        <v>9.82</v>
      </c>
      <c r="I140" s="442">
        <f>#N/A</f>
        <v>1.233809523809524</v>
      </c>
      <c r="J140" s="333">
        <f>#N/A</f>
        <v>-106.18</v>
      </c>
      <c r="K140" s="442">
        <f>#N/A</f>
        <v>0.3279746835443038</v>
      </c>
      <c r="L140" s="333">
        <f>#N/A</f>
        <v>0</v>
      </c>
      <c r="M140" s="333">
        <f>#N/A</f>
        <v>0</v>
      </c>
      <c r="N140" s="333">
        <f>#N/A</f>
        <v>0</v>
      </c>
      <c r="O140" s="333">
        <f>#N/A</f>
        <v>153.3</v>
      </c>
      <c r="P140" s="333">
        <f>#N/A</f>
        <v>4.699999999999989</v>
      </c>
      <c r="Q140" s="442">
        <f>#N/A</f>
        <v>1.030658838878017</v>
      </c>
      <c r="R140" s="333">
        <f>#N/A</f>
        <v>82.8</v>
      </c>
      <c r="S140" s="333">
        <f>#N/A</f>
        <v>-30.979999999999997</v>
      </c>
      <c r="T140" s="442">
        <f>#N/A</f>
        <v>0.6258454106280193</v>
      </c>
      <c r="U140" s="333">
        <f>#N/A</f>
        <v>14</v>
      </c>
      <c r="V140" s="333">
        <f>#N/A</f>
        <v>0</v>
      </c>
      <c r="W140" s="333">
        <f>#N/A</f>
        <v>-14</v>
      </c>
      <c r="X140" s="357">
        <f>#N/A</f>
        <v>0</v>
      </c>
      <c r="Y140" s="446">
        <f>#N/A</f>
        <v>-0.40481342824999755</v>
      </c>
      <c r="Z140" s="163"/>
    </row>
    <row r="141" spans="2:26" ht="30.75" hidden="1">
      <c r="B141" s="336" t="s">
        <v>34</v>
      </c>
      <c r="C141" s="337">
        <v>21080900</v>
      </c>
      <c r="D141" s="338">
        <f>D57</f>
        <v>13</v>
      </c>
      <c r="E141" s="338">
        <f>#N/A</f>
        <v>13</v>
      </c>
      <c r="F141" s="338">
        <f>#N/A</f>
        <v>5</v>
      </c>
      <c r="G141" s="338">
        <f>#N/A</f>
        <v>2.02</v>
      </c>
      <c r="H141" s="338">
        <f>#N/A</f>
        <v>-2.98</v>
      </c>
      <c r="I141" s="443">
        <f>#N/A</f>
        <v>0.404</v>
      </c>
      <c r="J141" s="338">
        <f>#N/A</f>
        <v>-10.98</v>
      </c>
      <c r="K141" s="443">
        <f>#N/A</f>
        <v>0.1553846153846154</v>
      </c>
      <c r="L141" s="338">
        <f>#N/A</f>
        <v>0</v>
      </c>
      <c r="M141" s="338">
        <f>#N/A</f>
        <v>0</v>
      </c>
      <c r="N141" s="338">
        <f>#N/A</f>
        <v>0</v>
      </c>
      <c r="O141" s="338">
        <f>#N/A</f>
        <v>12.95</v>
      </c>
      <c r="P141" s="338">
        <f>#N/A</f>
        <v>0.05000000000000071</v>
      </c>
      <c r="Q141" s="443">
        <f>#N/A</f>
        <v>1.0038610038610039</v>
      </c>
      <c r="R141" s="338">
        <f>#N/A</f>
        <v>2.03</v>
      </c>
      <c r="S141" s="338">
        <f>#N/A</f>
        <v>-0.009999999999999787</v>
      </c>
      <c r="T141" s="443">
        <f>#N/A</f>
        <v>0</v>
      </c>
      <c r="U141" s="338">
        <f>#N/A</f>
        <v>1</v>
      </c>
      <c r="V141" s="338">
        <f>#N/A</f>
        <v>0</v>
      </c>
      <c r="W141" s="338">
        <f>#N/A</f>
        <v>-1</v>
      </c>
      <c r="X141" s="445">
        <f>#N/A</f>
        <v>0</v>
      </c>
      <c r="Y141" s="446">
        <f>#N/A</f>
        <v>-1.0038610038610039</v>
      </c>
      <c r="Z141" s="163"/>
    </row>
    <row r="142" spans="2:26" ht="15" hidden="1">
      <c r="B142" s="329" t="s">
        <v>16</v>
      </c>
      <c r="C142" s="322">
        <v>21081100</v>
      </c>
      <c r="D142" s="323">
        <f>D58</f>
        <v>744</v>
      </c>
      <c r="E142" s="323">
        <f>#N/A</f>
        <v>744</v>
      </c>
      <c r="F142" s="323">
        <f>#N/A</f>
        <v>208.43</v>
      </c>
      <c r="G142" s="323">
        <f>#N/A</f>
        <v>245.78</v>
      </c>
      <c r="H142" s="323">
        <f>#N/A</f>
        <v>37.349999999999994</v>
      </c>
      <c r="I142" s="357">
        <f>#N/A</f>
        <v>1.1791968526603656</v>
      </c>
      <c r="J142" s="323">
        <f>#N/A</f>
        <v>-498.22</v>
      </c>
      <c r="K142" s="357">
        <f>#N/A</f>
        <v>0.3303494623655914</v>
      </c>
      <c r="L142" s="323">
        <f>#N/A</f>
        <v>0</v>
      </c>
      <c r="M142" s="323">
        <f>#N/A</f>
        <v>0</v>
      </c>
      <c r="N142" s="323">
        <f>#N/A</f>
        <v>0</v>
      </c>
      <c r="O142" s="323">
        <f>#N/A</f>
        <v>705.31</v>
      </c>
      <c r="P142" s="323">
        <f>#N/A</f>
        <v>38.690000000000055</v>
      </c>
      <c r="Q142" s="357">
        <f>#N/A</f>
        <v>1.0548553118486907</v>
      </c>
      <c r="R142" s="323">
        <f>#N/A</f>
        <v>394.48</v>
      </c>
      <c r="S142" s="323">
        <f>#N/A</f>
        <v>-148.70000000000002</v>
      </c>
      <c r="T142" s="357">
        <f>#N/A</f>
        <v>0.6230480632731697</v>
      </c>
      <c r="U142" s="323">
        <f>#N/A</f>
        <v>60</v>
      </c>
      <c r="V142" s="323">
        <f>#N/A</f>
        <v>21.189999999999998</v>
      </c>
      <c r="W142" s="323">
        <f>#N/A</f>
        <v>-38.81</v>
      </c>
      <c r="X142" s="357">
        <f>#N/A</f>
        <v>0.35316666666666663</v>
      </c>
      <c r="Y142" s="446">
        <f>#N/A</f>
        <v>-0.431807248575521</v>
      </c>
      <c r="Z142" s="163"/>
    </row>
    <row r="143" spans="2:26" ht="46.5" hidden="1">
      <c r="B143" s="329" t="s">
        <v>67</v>
      </c>
      <c r="C143" s="322">
        <v>21081500</v>
      </c>
      <c r="D143" s="323">
        <f>D59</f>
        <v>115.5</v>
      </c>
      <c r="E143" s="323">
        <f>#N/A</f>
        <v>115.5</v>
      </c>
      <c r="F143" s="323">
        <f>#N/A</f>
        <v>30</v>
      </c>
      <c r="G143" s="323">
        <f>#N/A</f>
        <v>39.22</v>
      </c>
      <c r="H143" s="323">
        <f>#N/A</f>
        <v>9.219999999999999</v>
      </c>
      <c r="I143" s="357">
        <f>#N/A</f>
        <v>1.3073333333333332</v>
      </c>
      <c r="J143" s="323">
        <f>#N/A</f>
        <v>-76.28</v>
      </c>
      <c r="K143" s="357">
        <f>#N/A</f>
        <v>0.3395670995670996</v>
      </c>
      <c r="L143" s="323">
        <f>#N/A</f>
        <v>0</v>
      </c>
      <c r="M143" s="323">
        <f>#N/A</f>
        <v>0</v>
      </c>
      <c r="N143" s="323">
        <f>#N/A</f>
        <v>0</v>
      </c>
      <c r="O143" s="323">
        <f>#N/A</f>
        <v>114.3</v>
      </c>
      <c r="P143" s="323">
        <f>#N/A</f>
        <v>1.2000000000000028</v>
      </c>
      <c r="Q143" s="357">
        <f>#N/A</f>
        <v>1.010498687664042</v>
      </c>
      <c r="R143" s="323">
        <f>#N/A</f>
        <v>1.01</v>
      </c>
      <c r="S143" s="323">
        <f>#N/A</f>
        <v>38.21</v>
      </c>
      <c r="T143" s="357">
        <f>#N/A</f>
        <v>38.83168316831683</v>
      </c>
      <c r="U143" s="323">
        <f>#N/A</f>
        <v>10</v>
      </c>
      <c r="V143" s="323">
        <f>#N/A</f>
        <v>30.6</v>
      </c>
      <c r="W143" s="323">
        <f>#N/A</f>
        <v>20.6</v>
      </c>
      <c r="X143" s="357">
        <f>#N/A</f>
        <v>3.06</v>
      </c>
      <c r="Y143" s="446">
        <f>#N/A</f>
        <v>37.82118448065279</v>
      </c>
      <c r="Z143" s="163"/>
    </row>
    <row r="144" spans="2:26" ht="46.5" hidden="1">
      <c r="B144" s="329" t="s">
        <v>17</v>
      </c>
      <c r="C144" s="322" t="s">
        <v>18</v>
      </c>
      <c r="D144" s="323">
        <f>D71</f>
        <v>3</v>
      </c>
      <c r="E144" s="323">
        <f>#N/A</f>
        <v>3</v>
      </c>
      <c r="F144" s="323">
        <f>#N/A</f>
        <v>1.5</v>
      </c>
      <c r="G144" s="323">
        <f>#N/A</f>
        <v>0</v>
      </c>
      <c r="H144" s="323">
        <f>#N/A</f>
        <v>-1.5</v>
      </c>
      <c r="I144" s="357">
        <f>#N/A</f>
        <v>0</v>
      </c>
      <c r="J144" s="323">
        <f>#N/A</f>
        <v>-3</v>
      </c>
      <c r="K144" s="357">
        <f>#N/A</f>
        <v>0</v>
      </c>
      <c r="L144" s="323">
        <f>#N/A</f>
        <v>0</v>
      </c>
      <c r="M144" s="323">
        <f>#N/A</f>
        <v>0</v>
      </c>
      <c r="N144" s="323">
        <f>#N/A</f>
        <v>0</v>
      </c>
      <c r="O144" s="323">
        <f>#N/A</f>
        <v>2.04</v>
      </c>
      <c r="P144" s="323">
        <f>#N/A</f>
        <v>0.96</v>
      </c>
      <c r="Q144" s="357">
        <f>#N/A</f>
        <v>1.4705882352941175</v>
      </c>
      <c r="R144" s="323">
        <f>#N/A</f>
        <v>2.04</v>
      </c>
      <c r="S144" s="323">
        <f>#N/A</f>
        <v>-2.04</v>
      </c>
      <c r="T144" s="357">
        <f>#N/A</f>
        <v>0</v>
      </c>
      <c r="U144" s="323">
        <f>#N/A</f>
        <v>0</v>
      </c>
      <c r="V144" s="323">
        <f>#N/A</f>
        <v>0</v>
      </c>
      <c r="W144" s="323">
        <f>#N/A</f>
        <v>0</v>
      </c>
      <c r="X144" s="357">
        <f>#N/A</f>
        <v>0</v>
      </c>
      <c r="Y144" s="446">
        <f>#N/A</f>
        <v>-1.4705882352941175</v>
      </c>
      <c r="Z144" s="163"/>
    </row>
    <row r="145" spans="2:26" ht="30.75" hidden="1">
      <c r="B145" s="344" t="s">
        <v>39</v>
      </c>
      <c r="C145" s="322">
        <v>31010200</v>
      </c>
      <c r="D145" s="345">
        <f>D77</f>
        <v>35</v>
      </c>
      <c r="E145" s="345">
        <f>#N/A</f>
        <v>35</v>
      </c>
      <c r="F145" s="345">
        <f>#N/A</f>
        <v>12.47</v>
      </c>
      <c r="G145" s="345">
        <f>#N/A</f>
        <v>4.74</v>
      </c>
      <c r="H145" s="345">
        <f>#N/A</f>
        <v>-7.73</v>
      </c>
      <c r="I145" s="444">
        <f>#N/A</f>
        <v>0.38011226944667204</v>
      </c>
      <c r="J145" s="345">
        <f>#N/A</f>
        <v>-30.259999999999998</v>
      </c>
      <c r="K145" s="444">
        <f>#N/A</f>
        <v>0.13542857142857143</v>
      </c>
      <c r="L145" s="345">
        <f>#N/A</f>
        <v>0</v>
      </c>
      <c r="M145" s="345">
        <f>#N/A</f>
        <v>0</v>
      </c>
      <c r="N145" s="345">
        <f>#N/A</f>
        <v>0</v>
      </c>
      <c r="O145" s="345">
        <f>#N/A</f>
        <v>34.22</v>
      </c>
      <c r="P145" s="345">
        <f>#N/A</f>
        <v>0.7800000000000011</v>
      </c>
      <c r="Q145" s="444">
        <f>#N/A</f>
        <v>1.0227936879018118</v>
      </c>
      <c r="R145" s="345">
        <f>#N/A</f>
        <v>16.85</v>
      </c>
      <c r="S145" s="345">
        <f>#N/A</f>
        <v>-12.110000000000001</v>
      </c>
      <c r="T145" s="444">
        <f>#N/A</f>
        <v>0.2813056379821958</v>
      </c>
      <c r="U145" s="345">
        <f>#N/A</f>
        <v>2.9000000000000004</v>
      </c>
      <c r="V145" s="345">
        <f>#N/A</f>
        <v>0</v>
      </c>
      <c r="W145" s="345">
        <f>#N/A</f>
        <v>-2.9000000000000004</v>
      </c>
      <c r="X145" s="444">
        <f>#N/A</f>
        <v>0</v>
      </c>
      <c r="Y145" s="446">
        <f>#N/A</f>
        <v>-0.7414880499196159</v>
      </c>
      <c r="Z145" s="163"/>
    </row>
    <row r="146" spans="2:26" ht="30.75" hidden="1">
      <c r="B146" s="344" t="s">
        <v>49</v>
      </c>
      <c r="C146" s="322">
        <v>31020000</v>
      </c>
      <c r="D146" s="345">
        <f>D78</f>
        <v>0</v>
      </c>
      <c r="E146" s="345">
        <f>#N/A</f>
        <v>0</v>
      </c>
      <c r="F146" s="345">
        <f>#N/A</f>
        <v>0</v>
      </c>
      <c r="G146" s="345">
        <f>#N/A</f>
        <v>0.5</v>
      </c>
      <c r="H146" s="345">
        <f>#N/A</f>
        <v>0.5</v>
      </c>
      <c r="I146" s="444" t="e">
        <f>#N/A</f>
        <v>#DIV/0!</v>
      </c>
      <c r="J146" s="345">
        <f>#N/A</f>
        <v>0.5</v>
      </c>
      <c r="K146" s="444">
        <f>#N/A</f>
        <v>0</v>
      </c>
      <c r="L146" s="345">
        <f>#N/A</f>
        <v>0</v>
      </c>
      <c r="M146" s="345">
        <f>#N/A</f>
        <v>0</v>
      </c>
      <c r="N146" s="345">
        <f>#N/A</f>
        <v>0</v>
      </c>
      <c r="O146" s="345">
        <f>#N/A</f>
        <v>-4.86</v>
      </c>
      <c r="P146" s="345">
        <f>#N/A</f>
        <v>4.86</v>
      </c>
      <c r="Q146" s="444">
        <f>#N/A</f>
        <v>0</v>
      </c>
      <c r="R146" s="345">
        <f>#N/A</f>
        <v>-5.25</v>
      </c>
      <c r="S146" s="345">
        <f>#N/A</f>
        <v>5.75</v>
      </c>
      <c r="T146" s="444">
        <f>#N/A</f>
        <v>-0.09523809523809523</v>
      </c>
      <c r="U146" s="345">
        <f>#N/A</f>
        <v>0</v>
      </c>
      <c r="V146" s="345">
        <f>#N/A</f>
        <v>0.04999999999999999</v>
      </c>
      <c r="W146" s="345">
        <f>#N/A</f>
        <v>0.04999999999999999</v>
      </c>
      <c r="X146" s="444">
        <f>#N/A</f>
        <v>0</v>
      </c>
      <c r="Y146" s="446">
        <f>#N/A</f>
        <v>-0.09523809523809523</v>
      </c>
      <c r="Z146" s="163"/>
    </row>
    <row r="147" spans="4:26" ht="15" hidden="1">
      <c r="D147" s="351">
        <f>SUM(D138:D146)</f>
        <v>1304.1</v>
      </c>
      <c r="E147" s="351">
        <f>SUM(E138:E146)</f>
        <v>1304.1</v>
      </c>
      <c r="F147" s="351">
        <f>SUM(F138:F146)</f>
        <v>419.40000000000003</v>
      </c>
      <c r="G147" s="351">
        <f>SUM(G138:G146)</f>
        <v>538.32</v>
      </c>
      <c r="H147" s="351">
        <f>SUM(H138:H146)</f>
        <v>118.91999999999999</v>
      </c>
      <c r="I147" s="189">
        <f>G147/F147</f>
        <v>1.2835479256080116</v>
      </c>
      <c r="J147" s="351">
        <f>G147-E147</f>
        <v>-765.7799999999999</v>
      </c>
      <c r="K147" s="441">
        <f>G147/E147</f>
        <v>0.4127904301817346</v>
      </c>
      <c r="O147" s="351">
        <f>SUM(O138:O146)</f>
        <v>1238.34</v>
      </c>
      <c r="P147" s="351">
        <f>SUM(P138:P146)</f>
        <v>65.76000000000005</v>
      </c>
      <c r="Q147" s="189">
        <f>E147/O147</f>
        <v>1.053103348030428</v>
      </c>
      <c r="R147" s="351">
        <f>SUM(R138:R146)</f>
        <v>612.42</v>
      </c>
      <c r="S147" s="351">
        <f>SUM(S138:S146)</f>
        <v>-74.1</v>
      </c>
      <c r="T147" s="189">
        <f>G147/R147</f>
        <v>0.8790046046830607</v>
      </c>
      <c r="U147" s="351">
        <f>SUM(U138:U146)</f>
        <v>87.9</v>
      </c>
      <c r="V147" s="351">
        <f>SUM(V138:V146)</f>
        <v>51.839999999999996</v>
      </c>
      <c r="W147" s="351">
        <f>SUM(W138:W146)</f>
        <v>-36.06</v>
      </c>
      <c r="X147" s="189">
        <f>V147/U147</f>
        <v>0.5897610921501706</v>
      </c>
      <c r="Y147" s="189">
        <f>#N/A</f>
        <v>-0.1740987433473672</v>
      </c>
      <c r="Z147" s="163"/>
    </row>
    <row r="148" spans="4:25" ht="15" hidden="1">
      <c r="D148" s="4"/>
      <c r="F148" s="78"/>
      <c r="G148" s="4"/>
      <c r="Y148" s="189"/>
    </row>
    <row r="149" spans="2:25" ht="15" hidden="1">
      <c r="B149" s="354" t="s">
        <v>183</v>
      </c>
      <c r="D149" s="4"/>
      <c r="F149" s="78"/>
      <c r="G149" s="4"/>
      <c r="Y149" s="189"/>
    </row>
    <row r="150" spans="2:25" ht="30.75" hidden="1">
      <c r="B150" s="355" t="s">
        <v>89</v>
      </c>
      <c r="C150" s="356">
        <v>22010300</v>
      </c>
      <c r="D150" s="323">
        <f>D60</f>
        <v>1284</v>
      </c>
      <c r="E150" s="323">
        <f>#N/A</f>
        <v>1284</v>
      </c>
      <c r="F150" s="323">
        <f>#N/A</f>
        <v>384</v>
      </c>
      <c r="G150" s="323">
        <f>#N/A</f>
        <v>376.39</v>
      </c>
      <c r="H150" s="323">
        <f>#N/A</f>
        <v>-7.610000000000014</v>
      </c>
      <c r="I150" s="357">
        <f>#N/A</f>
        <v>0.9801822916666666</v>
      </c>
      <c r="J150" s="323">
        <f>#N/A</f>
        <v>-907.61</v>
      </c>
      <c r="K150" s="357">
        <f>#N/A</f>
        <v>0.2931386292834891</v>
      </c>
      <c r="L150" s="323">
        <f>#N/A</f>
        <v>0</v>
      </c>
      <c r="M150" s="323">
        <f>#N/A</f>
        <v>0</v>
      </c>
      <c r="N150" s="323">
        <f>#N/A</f>
        <v>0</v>
      </c>
      <c r="O150" s="323">
        <f>#N/A</f>
        <v>1205.14</v>
      </c>
      <c r="P150" s="323">
        <f>#N/A</f>
        <v>78.8599999999999</v>
      </c>
      <c r="Q150" s="357">
        <f>#N/A</f>
        <v>1.0654363808354215</v>
      </c>
      <c r="R150" s="323">
        <f>#N/A</f>
        <v>393.47</v>
      </c>
      <c r="S150" s="323">
        <f>#N/A</f>
        <v>-17.08000000000004</v>
      </c>
      <c r="T150" s="357">
        <f>#N/A</f>
        <v>0.9565913538516277</v>
      </c>
      <c r="U150" s="323">
        <f>#N/A</f>
        <v>100</v>
      </c>
      <c r="V150" s="323">
        <f>#N/A</f>
        <v>96.06</v>
      </c>
      <c r="W150" s="323">
        <f>#N/A</f>
        <v>-3.9399999999999977</v>
      </c>
      <c r="X150" s="357">
        <f>#N/A</f>
        <v>0.9606</v>
      </c>
      <c r="Y150" s="446">
        <f>#N/A</f>
        <v>-0.10884502698379372</v>
      </c>
    </row>
    <row r="151" spans="2:25" ht="15" hidden="1">
      <c r="B151" s="355" t="s">
        <v>106</v>
      </c>
      <c r="C151" s="356">
        <v>22010200</v>
      </c>
      <c r="D151" s="323">
        <f>D61</f>
        <v>0</v>
      </c>
      <c r="E151" s="323">
        <f>#N/A</f>
        <v>0</v>
      </c>
      <c r="F151" s="323">
        <f>#N/A</f>
        <v>0</v>
      </c>
      <c r="G151" s="323">
        <f>#N/A</f>
        <v>0</v>
      </c>
      <c r="H151" s="323">
        <f>#N/A</f>
        <v>0</v>
      </c>
      <c r="I151" s="357" t="e">
        <f>#N/A</f>
        <v>#DIV/0!</v>
      </c>
      <c r="J151" s="323">
        <f>#N/A</f>
        <v>0</v>
      </c>
      <c r="K151" s="357" t="e">
        <f>#N/A</f>
        <v>#DIV/0!</v>
      </c>
      <c r="L151" s="323">
        <f>#N/A</f>
        <v>0</v>
      </c>
      <c r="M151" s="323">
        <f>#N/A</f>
        <v>0</v>
      </c>
      <c r="N151" s="323">
        <f>#N/A</f>
        <v>0</v>
      </c>
      <c r="O151" s="323">
        <f>#N/A</f>
        <v>23.38</v>
      </c>
      <c r="P151" s="323">
        <f>#N/A</f>
        <v>-23.38</v>
      </c>
      <c r="Q151" s="357">
        <f>#N/A</f>
        <v>0</v>
      </c>
      <c r="R151" s="323">
        <f>#N/A</f>
        <v>0</v>
      </c>
      <c r="S151" s="323">
        <f>#N/A</f>
        <v>0</v>
      </c>
      <c r="T151" s="357">
        <f>#N/A</f>
        <v>0</v>
      </c>
      <c r="U151" s="323">
        <f>#N/A</f>
        <v>0</v>
      </c>
      <c r="V151" s="323">
        <f>#N/A</f>
        <v>0</v>
      </c>
      <c r="W151" s="323">
        <f>#N/A</f>
        <v>0</v>
      </c>
      <c r="X151" s="357" t="e">
        <f>#N/A</f>
        <v>#DIV/0!</v>
      </c>
      <c r="Y151" s="446">
        <f>#N/A</f>
        <v>0</v>
      </c>
    </row>
    <row r="152" spans="2:25" ht="15" hidden="1">
      <c r="B152" s="358" t="s">
        <v>65</v>
      </c>
      <c r="C152" s="359">
        <v>22012500</v>
      </c>
      <c r="D152" s="360">
        <f>D62</f>
        <v>21260</v>
      </c>
      <c r="E152" s="360">
        <f>#N/A</f>
        <v>21260</v>
      </c>
      <c r="F152" s="360">
        <f>#N/A</f>
        <v>7490</v>
      </c>
      <c r="G152" s="360">
        <f>#N/A</f>
        <v>8292.46</v>
      </c>
      <c r="H152" s="360">
        <f>#N/A</f>
        <v>802.4599999999991</v>
      </c>
      <c r="I152" s="362">
        <f>#N/A</f>
        <v>1.1071375166889184</v>
      </c>
      <c r="J152" s="360">
        <f>#N/A</f>
        <v>-12967.54</v>
      </c>
      <c r="K152" s="362">
        <f>#N/A</f>
        <v>0.3900498588899341</v>
      </c>
      <c r="L152" s="360">
        <f>#N/A</f>
        <v>0</v>
      </c>
      <c r="M152" s="360">
        <f>#N/A</f>
        <v>0</v>
      </c>
      <c r="N152" s="360">
        <f>#N/A</f>
        <v>0</v>
      </c>
      <c r="O152" s="360">
        <f>#N/A</f>
        <v>20110.14</v>
      </c>
      <c r="P152" s="360">
        <f>#N/A</f>
        <v>1149.8600000000006</v>
      </c>
      <c r="Q152" s="362">
        <f>#N/A</f>
        <v>1.0571781200926498</v>
      </c>
      <c r="R152" s="360">
        <f>#N/A</f>
        <v>4681.51</v>
      </c>
      <c r="S152" s="360">
        <f>#N/A</f>
        <v>3610.949999999999</v>
      </c>
      <c r="T152" s="362">
        <f>#N/A</f>
        <v>1.771321646220984</v>
      </c>
      <c r="U152" s="360">
        <f>#N/A</f>
        <v>1800</v>
      </c>
      <c r="V152" s="360">
        <f>#N/A</f>
        <v>2090.5199999999995</v>
      </c>
      <c r="W152" s="360">
        <f>#N/A</f>
        <v>290.5199999999995</v>
      </c>
      <c r="X152" s="362">
        <f>#N/A</f>
        <v>1.1613999999999998</v>
      </c>
      <c r="Y152" s="446">
        <f>#N/A</f>
        <v>0.7141435261283342</v>
      </c>
    </row>
    <row r="153" spans="2:25" ht="30.75" hidden="1">
      <c r="B153" s="358" t="s">
        <v>86</v>
      </c>
      <c r="C153" s="359">
        <v>22012600</v>
      </c>
      <c r="D153" s="360">
        <f>D63</f>
        <v>767</v>
      </c>
      <c r="E153" s="360">
        <f>#N/A</f>
        <v>767</v>
      </c>
      <c r="F153" s="360">
        <f>#N/A</f>
        <v>249</v>
      </c>
      <c r="G153" s="360">
        <f>#N/A</f>
        <v>272.85</v>
      </c>
      <c r="H153" s="360">
        <f>#N/A</f>
        <v>23.850000000000023</v>
      </c>
      <c r="I153" s="362">
        <f>#N/A</f>
        <v>1.0957831325301206</v>
      </c>
      <c r="J153" s="360">
        <f>#N/A</f>
        <v>-494.15</v>
      </c>
      <c r="K153" s="362">
        <f>#N/A</f>
        <v>0.35573663624511087</v>
      </c>
      <c r="L153" s="360">
        <f>#N/A</f>
        <v>0</v>
      </c>
      <c r="M153" s="360">
        <f>#N/A</f>
        <v>0</v>
      </c>
      <c r="N153" s="360">
        <f>#N/A</f>
        <v>0</v>
      </c>
      <c r="O153" s="360">
        <f>#N/A</f>
        <v>710.04</v>
      </c>
      <c r="P153" s="360">
        <f>#N/A</f>
        <v>56.960000000000036</v>
      </c>
      <c r="Q153" s="362">
        <f>#N/A</f>
        <v>1.0802208326291478</v>
      </c>
      <c r="R153" s="360">
        <f>#N/A</f>
        <v>175.37</v>
      </c>
      <c r="S153" s="360">
        <f>#N/A</f>
        <v>97.48000000000002</v>
      </c>
      <c r="T153" s="362">
        <f>#N/A</f>
        <v>1.5558533386554143</v>
      </c>
      <c r="U153" s="360">
        <f>#N/A</f>
        <v>64</v>
      </c>
      <c r="V153" s="360">
        <f>#N/A</f>
        <v>70.69000000000003</v>
      </c>
      <c r="W153" s="360">
        <f>#N/A</f>
        <v>6.690000000000026</v>
      </c>
      <c r="X153" s="362">
        <f>#N/A</f>
        <v>1.1045312500000004</v>
      </c>
      <c r="Y153" s="446">
        <f>#N/A</f>
        <v>0.4756325060262665</v>
      </c>
    </row>
    <row r="154" spans="2:25" ht="30.75" hidden="1">
      <c r="B154" s="358" t="s">
        <v>90</v>
      </c>
      <c r="C154" s="359">
        <v>22012900</v>
      </c>
      <c r="D154" s="360">
        <f>D64</f>
        <v>44</v>
      </c>
      <c r="E154" s="360">
        <f>#N/A</f>
        <v>44</v>
      </c>
      <c r="F154" s="360">
        <f>#N/A</f>
        <v>12</v>
      </c>
      <c r="G154" s="360">
        <f>#N/A</f>
        <v>13.06</v>
      </c>
      <c r="H154" s="360">
        <f>#N/A</f>
        <v>1.0600000000000005</v>
      </c>
      <c r="I154" s="362">
        <f>#N/A</f>
        <v>1.0883333333333334</v>
      </c>
      <c r="J154" s="360">
        <f>#N/A</f>
        <v>-30.939999999999998</v>
      </c>
      <c r="K154" s="362">
        <f>#N/A</f>
        <v>0.2968181818181818</v>
      </c>
      <c r="L154" s="360">
        <f>#N/A</f>
        <v>0</v>
      </c>
      <c r="M154" s="360">
        <f>#N/A</f>
        <v>0</v>
      </c>
      <c r="N154" s="360">
        <f>#N/A</f>
        <v>0</v>
      </c>
      <c r="O154" s="360">
        <f>#N/A</f>
        <v>41.44</v>
      </c>
      <c r="P154" s="360">
        <f>#N/A</f>
        <v>2.5600000000000023</v>
      </c>
      <c r="Q154" s="362">
        <f>#N/A</f>
        <v>1.0617760617760619</v>
      </c>
      <c r="R154" s="360">
        <f>#N/A</f>
        <v>11.36</v>
      </c>
      <c r="S154" s="360">
        <f>#N/A</f>
        <v>1.700000000000001</v>
      </c>
      <c r="T154" s="362">
        <f>#N/A</f>
        <v>1.1496478873239437</v>
      </c>
      <c r="U154" s="360">
        <f>#N/A</f>
        <v>4</v>
      </c>
      <c r="V154" s="360">
        <f>#N/A</f>
        <v>5.300000000000001</v>
      </c>
      <c r="W154" s="360">
        <f>#N/A</f>
        <v>1.3000000000000007</v>
      </c>
      <c r="X154" s="362">
        <f>#N/A</f>
        <v>1.3250000000000002</v>
      </c>
      <c r="Y154" s="446">
        <f>#N/A</f>
        <v>0.08787182554788187</v>
      </c>
    </row>
    <row r="155" spans="2:25" ht="15" hidden="1">
      <c r="B155" s="354" t="s">
        <v>183</v>
      </c>
      <c r="C155" s="365">
        <v>22010000</v>
      </c>
      <c r="D155" s="351">
        <f>SUM(D150:D154)</f>
        <v>23355</v>
      </c>
      <c r="E155" s="351">
        <f>#N/A</f>
        <v>23355</v>
      </c>
      <c r="F155" s="351">
        <f>#N/A</f>
        <v>8135</v>
      </c>
      <c r="G155" s="351">
        <f>#N/A</f>
        <v>8954.759999999998</v>
      </c>
      <c r="H155" s="351">
        <f>#N/A</f>
        <v>819.7599999999991</v>
      </c>
      <c r="I155" s="189">
        <f>G155/F155</f>
        <v>1.1007695144437613</v>
      </c>
      <c r="J155" s="351">
        <f>#N/A</f>
        <v>-14400.240000000002</v>
      </c>
      <c r="K155" s="189">
        <f>G155/E155</f>
        <v>0.3834193962748875</v>
      </c>
      <c r="L155" s="351">
        <f>#N/A</f>
        <v>0</v>
      </c>
      <c r="M155" s="351">
        <f>#N/A</f>
        <v>0</v>
      </c>
      <c r="N155" s="351">
        <f>#N/A</f>
        <v>0</v>
      </c>
      <c r="O155" s="351">
        <f>#N/A</f>
        <v>22090.14</v>
      </c>
      <c r="P155" s="351">
        <f>#N/A</f>
        <v>1264.8600000000006</v>
      </c>
      <c r="Q155" s="189">
        <f>E155/O155</f>
        <v>1.0572590304995804</v>
      </c>
      <c r="R155" s="351">
        <f>#N/A</f>
        <v>5261.71</v>
      </c>
      <c r="S155" s="351">
        <f>#N/A</f>
        <v>3693.049999999999</v>
      </c>
      <c r="T155" s="189">
        <f>G155/R155</f>
        <v>1.701872585148174</v>
      </c>
      <c r="U155" s="351">
        <f>#N/A</f>
        <v>1968</v>
      </c>
      <c r="V155" s="351">
        <f>#N/A</f>
        <v>2262.5699999999997</v>
      </c>
      <c r="W155" s="351">
        <f>#N/A</f>
        <v>294.56999999999954</v>
      </c>
      <c r="X155" s="189">
        <f>V155/U155</f>
        <v>1.1496798780487802</v>
      </c>
      <c r="Y155" s="189">
        <f>#N/A</f>
        <v>0.6446135546485936</v>
      </c>
    </row>
    <row r="156" spans="4:25" ht="15" hidden="1">
      <c r="D156" s="4"/>
      <c r="F156" s="78"/>
      <c r="G156" s="4"/>
      <c r="Y156" s="189"/>
    </row>
    <row r="157" spans="4:25" ht="15" hidden="1">
      <c r="D157" s="4"/>
      <c r="F157" s="78"/>
      <c r="G157" s="4"/>
      <c r="Y157" s="189"/>
    </row>
    <row r="158" spans="2:25" ht="15" hidden="1">
      <c r="B158" s="354" t="s">
        <v>184</v>
      </c>
      <c r="D158" s="4"/>
      <c r="F158" s="78"/>
      <c r="G158" s="4"/>
      <c r="Y158" s="189"/>
    </row>
    <row r="159" spans="2:25" ht="15" hidden="1">
      <c r="B159" s="366" t="s">
        <v>13</v>
      </c>
      <c r="C159" s="322" t="s">
        <v>19</v>
      </c>
      <c r="D159" s="348">
        <f>D72</f>
        <v>8170</v>
      </c>
      <c r="E159" s="348">
        <f>#N/A</f>
        <v>8170</v>
      </c>
      <c r="F159" s="348">
        <f>#N/A</f>
        <v>2608.65</v>
      </c>
      <c r="G159" s="348">
        <f>#N/A</f>
        <v>2034.03</v>
      </c>
      <c r="H159" s="348">
        <f>#N/A</f>
        <v>-574.6200000000001</v>
      </c>
      <c r="I159" s="347">
        <f>#N/A</f>
        <v>0.7797251451900408</v>
      </c>
      <c r="J159" s="348">
        <f>#N/A</f>
        <v>-6135.97</v>
      </c>
      <c r="K159" s="347">
        <f>#N/A</f>
        <v>0.24896328029375764</v>
      </c>
      <c r="L159" s="348">
        <f>#N/A</f>
        <v>0</v>
      </c>
      <c r="M159" s="348">
        <f>#N/A</f>
        <v>0</v>
      </c>
      <c r="N159" s="348">
        <f>#N/A</f>
        <v>0</v>
      </c>
      <c r="O159" s="348">
        <f>#N/A</f>
        <v>8086.92</v>
      </c>
      <c r="P159" s="348">
        <f>#N/A</f>
        <v>83.07999999999993</v>
      </c>
      <c r="Q159" s="347">
        <f>#N/A</f>
        <v>1.0102733797292418</v>
      </c>
      <c r="R159" s="348">
        <f>#N/A</f>
        <v>3536.21</v>
      </c>
      <c r="S159" s="348">
        <f>#N/A</f>
        <v>-1502.18</v>
      </c>
      <c r="T159" s="347">
        <f>#N/A</f>
        <v>0.5752005678395796</v>
      </c>
      <c r="U159" s="348">
        <f>#N/A</f>
        <v>680</v>
      </c>
      <c r="V159" s="348">
        <f>#N/A</f>
        <v>535.3299999999999</v>
      </c>
      <c r="W159" s="348">
        <f>#N/A</f>
        <v>-144.67000000000007</v>
      </c>
      <c r="X159" s="347">
        <f>#N/A</f>
        <v>0.7872499999999999</v>
      </c>
      <c r="Y159" s="189">
        <f>#N/A</f>
        <v>-0.4350728118896622</v>
      </c>
    </row>
    <row r="160" spans="2:25" ht="46.5" hidden="1">
      <c r="B160" s="366" t="s">
        <v>38</v>
      </c>
      <c r="C160" s="322">
        <v>24061900</v>
      </c>
      <c r="D160" s="348">
        <f>D76</f>
        <v>174.4</v>
      </c>
      <c r="E160" s="348">
        <f>#N/A</f>
        <v>174.4</v>
      </c>
      <c r="F160" s="348">
        <f>#N/A</f>
        <v>20</v>
      </c>
      <c r="G160" s="348">
        <f>#N/A</f>
        <v>0</v>
      </c>
      <c r="H160" s="348">
        <f>#N/A</f>
        <v>-20</v>
      </c>
      <c r="I160" s="347">
        <f>#N/A</f>
        <v>0</v>
      </c>
      <c r="J160" s="348">
        <f>#N/A</f>
        <v>-174.4</v>
      </c>
      <c r="K160" s="347">
        <f>#N/A</f>
        <v>0</v>
      </c>
      <c r="L160" s="348">
        <f>#N/A</f>
        <v>0</v>
      </c>
      <c r="M160" s="348">
        <f>#N/A</f>
        <v>0</v>
      </c>
      <c r="N160" s="348">
        <f>#N/A</f>
        <v>0</v>
      </c>
      <c r="O160" s="348">
        <f>#N/A</f>
        <v>142.18</v>
      </c>
      <c r="P160" s="348">
        <f>#N/A</f>
        <v>32.22</v>
      </c>
      <c r="Q160" s="347">
        <f>#N/A</f>
        <v>1.2266141510761006</v>
      </c>
      <c r="R160" s="348">
        <f>#N/A</f>
        <v>54.64</v>
      </c>
      <c r="S160" s="348">
        <f>#N/A</f>
        <v>-54.64</v>
      </c>
      <c r="T160" s="347">
        <f>#N/A</f>
        <v>0</v>
      </c>
      <c r="U160" s="348">
        <f>#N/A</f>
        <v>20</v>
      </c>
      <c r="V160" s="348">
        <f>#N/A</f>
        <v>0</v>
      </c>
      <c r="W160" s="348">
        <f>#N/A</f>
        <v>-20</v>
      </c>
      <c r="X160" s="347">
        <f>#N/A</f>
        <v>0</v>
      </c>
      <c r="Y160" s="189">
        <f>#N/A</f>
        <v>-1.2266141510761006</v>
      </c>
    </row>
    <row r="161" spans="2:25" ht="15" hidden="1">
      <c r="B161" s="354" t="s">
        <v>184</v>
      </c>
      <c r="C161" s="370">
        <v>24060000</v>
      </c>
      <c r="D161" s="351">
        <f>SUM(D159:D160)</f>
        <v>8344.4</v>
      </c>
      <c r="E161" s="351">
        <f>#N/A</f>
        <v>8344.4</v>
      </c>
      <c r="F161" s="351">
        <f>#N/A</f>
        <v>2628.65</v>
      </c>
      <c r="G161" s="351">
        <f>#N/A</f>
        <v>2034.03</v>
      </c>
      <c r="H161" s="351">
        <f>#N/A</f>
        <v>-594.6200000000001</v>
      </c>
      <c r="I161" s="189">
        <f>G161/F161</f>
        <v>0.7737926311985239</v>
      </c>
      <c r="J161" s="351">
        <f>#N/A</f>
        <v>-6310.37</v>
      </c>
      <c r="K161" s="189">
        <f>G161/E161</f>
        <v>0.24375988687023634</v>
      </c>
      <c r="L161" s="351">
        <f>#N/A</f>
        <v>0</v>
      </c>
      <c r="M161" s="351">
        <f>#N/A</f>
        <v>0</v>
      </c>
      <c r="N161" s="351">
        <f>#N/A</f>
        <v>0</v>
      </c>
      <c r="O161" s="351">
        <f>#N/A</f>
        <v>8229.1</v>
      </c>
      <c r="P161" s="351">
        <f>#N/A</f>
        <v>115.29999999999993</v>
      </c>
      <c r="Q161" s="189">
        <f>E161/O161</f>
        <v>1.0140112527493892</v>
      </c>
      <c r="R161" s="351">
        <f>#N/A</f>
        <v>3590.85</v>
      </c>
      <c r="S161" s="351">
        <f>#N/A</f>
        <v>-1556.8200000000002</v>
      </c>
      <c r="T161" s="189">
        <f>G161/R161</f>
        <v>0.5664480554743306</v>
      </c>
      <c r="U161" s="351">
        <f>#N/A</f>
        <v>700</v>
      </c>
      <c r="V161" s="351">
        <f>#N/A</f>
        <v>535.3299999999999</v>
      </c>
      <c r="W161" s="351">
        <f>#N/A</f>
        <v>-164.67000000000007</v>
      </c>
      <c r="X161" s="189">
        <f>V161/U161</f>
        <v>0.7647571428571428</v>
      </c>
      <c r="Y161" s="189">
        <f>#N/A</f>
        <v>-0.44756319727505856</v>
      </c>
    </row>
    <row r="162" ht="15" hidden="1"/>
  </sheetData>
  <sheetProtection/>
  <mergeCells count="30">
    <mergeCell ref="B111:C111"/>
    <mergeCell ref="G111:H111"/>
    <mergeCell ref="G106:H106"/>
    <mergeCell ref="G107:H107"/>
    <mergeCell ref="G108:H108"/>
    <mergeCell ref="B109:C109"/>
    <mergeCell ref="G109:H109"/>
    <mergeCell ref="G110:H110"/>
    <mergeCell ref="V4:V5"/>
    <mergeCell ref="W4:W5"/>
    <mergeCell ref="X4:X5"/>
    <mergeCell ref="L5:N5"/>
    <mergeCell ref="O5:Q5"/>
    <mergeCell ref="R5:T5"/>
    <mergeCell ref="F4:F5"/>
    <mergeCell ref="G4:G5"/>
    <mergeCell ref="H4:H5"/>
    <mergeCell ref="I4:I5"/>
    <mergeCell ref="J4:J5"/>
    <mergeCell ref="K4:K5"/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</mergeCells>
  <printOptions/>
  <pageMargins left="0" right="0" top="0" bottom="0" header="0" footer="0"/>
  <pageSetup fitToHeight="2" fitToWidth="1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1"/>
  <sheetViews>
    <sheetView zoomScale="78" zoomScaleNormal="78" zoomScalePageLayoutView="0" workbookViewId="0" topLeftCell="B1">
      <pane xSplit="3" ySplit="8" topLeftCell="E9" activePane="bottomRight" state="frozen"/>
      <selection pane="topLeft" activeCell="B1" sqref="B1"/>
      <selection pane="topRight" activeCell="E1" sqref="E1"/>
      <selection pane="bottomLeft" activeCell="B9" sqref="B9"/>
      <selection pane="bottomRight" activeCell="W22" sqref="W2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2.625" style="4" customWidth="1"/>
    <col min="24" max="24" width="12.75390625" style="4" customWidth="1"/>
    <col min="25" max="25" width="11.375" style="186" customWidth="1"/>
    <col min="26" max="16384" width="9.125" style="4" customWidth="1"/>
  </cols>
  <sheetData>
    <row r="1" spans="1:25" s="1" customFormat="1" ht="26.25" customHeight="1">
      <c r="A1" s="504" t="s">
        <v>222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186"/>
    </row>
    <row r="2" spans="2:25" s="1" customFormat="1" ht="15.75" customHeight="1">
      <c r="B2" s="470"/>
      <c r="C2" s="470"/>
      <c r="D2" s="470"/>
      <c r="E2" s="470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71"/>
      <c r="B3" s="473"/>
      <c r="C3" s="474" t="s">
        <v>0</v>
      </c>
      <c r="D3" s="475" t="s">
        <v>131</v>
      </c>
      <c r="E3" s="475" t="s">
        <v>221</v>
      </c>
      <c r="F3" s="25"/>
      <c r="G3" s="476" t="s">
        <v>26</v>
      </c>
      <c r="H3" s="477"/>
      <c r="I3" s="477"/>
      <c r="J3" s="477"/>
      <c r="K3" s="478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479" t="s">
        <v>219</v>
      </c>
      <c r="V3" s="482" t="s">
        <v>220</v>
      </c>
      <c r="W3" s="482"/>
      <c r="X3" s="482"/>
      <c r="Y3" s="194"/>
    </row>
    <row r="4" spans="1:24" ht="22.5" customHeight="1">
      <c r="A4" s="471"/>
      <c r="B4" s="473"/>
      <c r="C4" s="474"/>
      <c r="D4" s="475"/>
      <c r="E4" s="475"/>
      <c r="F4" s="483" t="s">
        <v>215</v>
      </c>
      <c r="G4" s="485" t="s">
        <v>31</v>
      </c>
      <c r="H4" s="487" t="s">
        <v>216</v>
      </c>
      <c r="I4" s="480" t="s">
        <v>217</v>
      </c>
      <c r="J4" s="487" t="s">
        <v>132</v>
      </c>
      <c r="K4" s="480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0"/>
      <c r="V4" s="489" t="s">
        <v>223</v>
      </c>
      <c r="W4" s="487" t="s">
        <v>44</v>
      </c>
      <c r="X4" s="491" t="s">
        <v>43</v>
      </c>
    </row>
    <row r="5" spans="1:24" ht="67.5" customHeight="1">
      <c r="A5" s="472"/>
      <c r="B5" s="473"/>
      <c r="C5" s="474"/>
      <c r="D5" s="475"/>
      <c r="E5" s="475"/>
      <c r="F5" s="484"/>
      <c r="G5" s="486"/>
      <c r="H5" s="488"/>
      <c r="I5" s="481"/>
      <c r="J5" s="488"/>
      <c r="K5" s="481"/>
      <c r="L5" s="492" t="s">
        <v>135</v>
      </c>
      <c r="M5" s="493"/>
      <c r="N5" s="494"/>
      <c r="O5" s="495" t="s">
        <v>210</v>
      </c>
      <c r="P5" s="496"/>
      <c r="Q5" s="497"/>
      <c r="R5" s="498" t="s">
        <v>218</v>
      </c>
      <c r="S5" s="498"/>
      <c r="T5" s="498"/>
      <c r="U5" s="481"/>
      <c r="V5" s="490"/>
      <c r="W5" s="488"/>
      <c r="X5" s="491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361542.939</v>
      </c>
      <c r="G8" s="103">
        <f>G9+G15+G18+G19+G23+G17</f>
        <v>367118.1</v>
      </c>
      <c r="H8" s="103">
        <f>G8-F8</f>
        <v>5575.160999999964</v>
      </c>
      <c r="I8" s="210">
        <f>#N/A</f>
        <v>1.0154204671108236</v>
      </c>
      <c r="J8" s="104">
        <f>#N/A</f>
        <v>-1213515.7000000002</v>
      </c>
      <c r="K8" s="156">
        <f>#N/A</f>
        <v>0.23226005922434403</v>
      </c>
      <c r="L8" s="104"/>
      <c r="M8" s="104"/>
      <c r="N8" s="104"/>
      <c r="O8" s="104">
        <v>1329586.12</v>
      </c>
      <c r="P8" s="104">
        <f>#N/A</f>
        <v>251047.67999999993</v>
      </c>
      <c r="Q8" s="156">
        <f>#N/A</f>
        <v>1.188816411531131</v>
      </c>
      <c r="R8" s="103">
        <v>293545.77</v>
      </c>
      <c r="S8" s="103">
        <f>#N/A</f>
        <v>73572.32999999996</v>
      </c>
      <c r="T8" s="143">
        <f>#N/A</f>
        <v>1.2506332487775245</v>
      </c>
      <c r="U8" s="103">
        <f>U9+U15+U18+U19+U23+U17</f>
        <v>119781.5</v>
      </c>
      <c r="V8" s="103">
        <f>V9+V15+V18+V19+V23+V17</f>
        <v>125226.18000000001</v>
      </c>
      <c r="W8" s="103">
        <f>V8-U8</f>
        <v>5444.680000000008</v>
      </c>
      <c r="X8" s="143">
        <f>#N/A</f>
        <v>1.0454550994936613</v>
      </c>
      <c r="Y8" s="199">
        <f>#N/A</f>
        <v>0.06181683724639342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v>956203</v>
      </c>
      <c r="F9" s="102">
        <v>209196.339</v>
      </c>
      <c r="G9" s="106">
        <v>218795.53</v>
      </c>
      <c r="H9" s="102">
        <f>G9-F9</f>
        <v>9599.190999999992</v>
      </c>
      <c r="I9" s="208">
        <f>#N/A</f>
        <v>1.0458860372312728</v>
      </c>
      <c r="J9" s="108">
        <f>#N/A</f>
        <v>-737407.47</v>
      </c>
      <c r="K9" s="148">
        <f>#N/A</f>
        <v>0.22881702943830964</v>
      </c>
      <c r="L9" s="108"/>
      <c r="M9" s="108"/>
      <c r="N9" s="108"/>
      <c r="O9" s="108">
        <v>775821.8</v>
      </c>
      <c r="P9" s="108">
        <f>#N/A</f>
        <v>180381.19999999995</v>
      </c>
      <c r="Q9" s="148">
        <f>#N/A</f>
        <v>1.2325033918871575</v>
      </c>
      <c r="R9" s="161">
        <v>162187.36</v>
      </c>
      <c r="S9" s="109">
        <f>#N/A</f>
        <v>56608.17000000001</v>
      </c>
      <c r="T9" s="144">
        <f>#N/A</f>
        <v>1.3490294804724612</v>
      </c>
      <c r="U9" s="107">
        <f>F9-лютий!F9</f>
        <v>70204</v>
      </c>
      <c r="V9" s="110">
        <f>G9-лютий!G9</f>
        <v>78716.66</v>
      </c>
      <c r="W9" s="111">
        <f>V9-U9</f>
        <v>8512.660000000003</v>
      </c>
      <c r="X9" s="148">
        <f>#N/A</f>
        <v>1.1212560537861092</v>
      </c>
      <c r="Y9" s="200">
        <f>#N/A</f>
        <v>0.11652608858530367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</f>
        <v>881803</v>
      </c>
      <c r="F10" s="71">
        <v>192878.7</v>
      </c>
      <c r="G10" s="94">
        <v>199834.89</v>
      </c>
      <c r="H10" s="71">
        <f>#N/A</f>
        <v>6956.190000000002</v>
      </c>
      <c r="I10" s="209">
        <f>#N/A</f>
        <v>1.0360651020563703</v>
      </c>
      <c r="J10" s="72">
        <f>#N/A</f>
        <v>-681968.11</v>
      </c>
      <c r="K10" s="75">
        <f>#N/A</f>
        <v>0.2266207871826247</v>
      </c>
      <c r="L10" s="72"/>
      <c r="M10" s="72"/>
      <c r="N10" s="72"/>
      <c r="O10" s="72">
        <v>709899.75</v>
      </c>
      <c r="P10" s="72">
        <f>#N/A</f>
        <v>171903.25</v>
      </c>
      <c r="Q10" s="75">
        <f>#N/A</f>
        <v>1.2421514446229909</v>
      </c>
      <c r="R10" s="74">
        <v>148315.37</v>
      </c>
      <c r="S10" s="74">
        <f>#N/A</f>
        <v>51519.52000000002</v>
      </c>
      <c r="T10" s="145">
        <f>#N/A</f>
        <v>1.34736467299377</v>
      </c>
      <c r="U10" s="73">
        <f>F10-лютий!F10</f>
        <v>65100.000000000015</v>
      </c>
      <c r="V10" s="98">
        <f>G10-лютий!G10</f>
        <v>72045.44000000002</v>
      </c>
      <c r="W10" s="74">
        <f>#N/A</f>
        <v>6945.440000000002</v>
      </c>
      <c r="X10" s="75">
        <f>#N/A</f>
        <v>1.106688786482335</v>
      </c>
      <c r="Y10" s="198">
        <f>#N/A</f>
        <v>0.10521322837077918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10754.7</v>
      </c>
      <c r="G11" s="94">
        <v>12023.19</v>
      </c>
      <c r="H11" s="71">
        <f>#N/A</f>
        <v>1268.4899999999998</v>
      </c>
      <c r="I11" s="209">
        <f>#N/A</f>
        <v>1.1179475020223715</v>
      </c>
      <c r="J11" s="72">
        <f>#N/A</f>
        <v>-37876.81</v>
      </c>
      <c r="K11" s="75">
        <f>#N/A</f>
        <v>0.24094569138276553</v>
      </c>
      <c r="L11" s="72"/>
      <c r="M11" s="72"/>
      <c r="N11" s="72"/>
      <c r="O11" s="72">
        <v>42516.41</v>
      </c>
      <c r="P11" s="72">
        <f>#N/A</f>
        <v>7383.5899999999965</v>
      </c>
      <c r="Q11" s="75">
        <f>#N/A</f>
        <v>1.1736644744934954</v>
      </c>
      <c r="R11" s="74">
        <v>9104.48</v>
      </c>
      <c r="S11" s="74">
        <f>#N/A</f>
        <v>2918.710000000001</v>
      </c>
      <c r="T11" s="145">
        <f>#N/A</f>
        <v>1.3205795388643833</v>
      </c>
      <c r="U11" s="73">
        <f>F11-лютий!F11</f>
        <v>3670.000000000001</v>
      </c>
      <c r="V11" s="98">
        <f>G11-лютий!G11</f>
        <v>4335.790000000001</v>
      </c>
      <c r="W11" s="74">
        <f>#N/A</f>
        <v>665.79</v>
      </c>
      <c r="X11" s="75">
        <f>#N/A</f>
        <v>1.1814141689373296</v>
      </c>
      <c r="Y11" s="198">
        <f>#N/A</f>
        <v>0.14691506437088786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2294.409</v>
      </c>
      <c r="G12" s="94">
        <v>3279.15</v>
      </c>
      <c r="H12" s="71">
        <f>#N/A</f>
        <v>984.741</v>
      </c>
      <c r="I12" s="209">
        <f>#N/A</f>
        <v>1.4291915695937385</v>
      </c>
      <c r="J12" s="72">
        <f>#N/A</f>
        <v>-8720.85</v>
      </c>
      <c r="K12" s="75">
        <f>#N/A</f>
        <v>0.2732625</v>
      </c>
      <c r="L12" s="72"/>
      <c r="M12" s="72"/>
      <c r="N12" s="72"/>
      <c r="O12" s="72">
        <v>11992.15</v>
      </c>
      <c r="P12" s="72">
        <f>#N/A</f>
        <v>7.850000000000364</v>
      </c>
      <c r="Q12" s="75">
        <f>#N/A</f>
        <v>1.0006545948808179</v>
      </c>
      <c r="R12" s="74">
        <v>1764.69</v>
      </c>
      <c r="S12" s="74">
        <f>#N/A</f>
        <v>1514.46</v>
      </c>
      <c r="T12" s="145">
        <f>#N/A</f>
        <v>1.8582017238155144</v>
      </c>
      <c r="U12" s="73">
        <f>F12-лютий!F12</f>
        <v>830</v>
      </c>
      <c r="V12" s="98">
        <f>G12-лютий!G12</f>
        <v>1686.23</v>
      </c>
      <c r="W12" s="74">
        <f>#N/A</f>
        <v>856.23</v>
      </c>
      <c r="X12" s="75">
        <f>#N/A</f>
        <v>2.031602409638554</v>
      </c>
      <c r="Y12" s="198">
        <f>#N/A</f>
        <v>0.8575471289346965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3056.9</v>
      </c>
      <c r="G13" s="94">
        <v>3350.68</v>
      </c>
      <c r="H13" s="71">
        <f>#N/A</f>
        <v>293.77999999999975</v>
      </c>
      <c r="I13" s="209">
        <f>#N/A</f>
        <v>1.096103896103896</v>
      </c>
      <c r="J13" s="72">
        <f>#N/A</f>
        <v>-8649.32</v>
      </c>
      <c r="K13" s="75">
        <f>#N/A</f>
        <v>0.2792233333333333</v>
      </c>
      <c r="L13" s="72"/>
      <c r="M13" s="72"/>
      <c r="N13" s="72"/>
      <c r="O13" s="72">
        <v>10036.81</v>
      </c>
      <c r="P13" s="72">
        <f>#N/A</f>
        <v>1963.1900000000005</v>
      </c>
      <c r="Q13" s="75">
        <f>#N/A</f>
        <v>1.195599000080703</v>
      </c>
      <c r="R13" s="74">
        <v>2629.16</v>
      </c>
      <c r="S13" s="74">
        <f>#N/A</f>
        <v>721.52</v>
      </c>
      <c r="T13" s="145">
        <f>#N/A</f>
        <v>1.274429855923565</v>
      </c>
      <c r="U13" s="73">
        <f>F13-лютий!F13</f>
        <v>571</v>
      </c>
      <c r="V13" s="98">
        <f>G13-лютий!G13</f>
        <v>649.21</v>
      </c>
      <c r="W13" s="74">
        <f>#N/A</f>
        <v>78.21000000000004</v>
      </c>
      <c r="X13" s="75">
        <f>#N/A</f>
        <v>1.1369702276707532</v>
      </c>
      <c r="Y13" s="198">
        <f>#N/A</f>
        <v>0.07883085584286187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211.63</v>
      </c>
      <c r="G14" s="94">
        <v>307.62</v>
      </c>
      <c r="H14" s="71">
        <f>#N/A</f>
        <v>95.99000000000001</v>
      </c>
      <c r="I14" s="209">
        <f>#N/A</f>
        <v>1.4535746349761376</v>
      </c>
      <c r="J14" s="72">
        <f>#N/A</f>
        <v>-192.38</v>
      </c>
      <c r="K14" s="75">
        <f>#N/A</f>
        <v>0.61524</v>
      </c>
      <c r="L14" s="72"/>
      <c r="M14" s="72"/>
      <c r="N14" s="72"/>
      <c r="O14" s="72">
        <v>1376.68</v>
      </c>
      <c r="P14" s="72">
        <f>#N/A</f>
        <v>-876.6800000000001</v>
      </c>
      <c r="Q14" s="75">
        <f>#N/A</f>
        <v>0.36319260830403577</v>
      </c>
      <c r="R14" s="74">
        <v>373.67</v>
      </c>
      <c r="S14" s="74">
        <f>#N/A</f>
        <v>-66.05000000000001</v>
      </c>
      <c r="T14" s="145">
        <f>#N/A</f>
        <v>0.8232397570048439</v>
      </c>
      <c r="U14" s="73">
        <f>F14-лютий!F14</f>
        <v>33</v>
      </c>
      <c r="V14" s="98">
        <f>G14-лютий!G14</f>
        <v>0</v>
      </c>
      <c r="W14" s="74">
        <f>#N/A</f>
        <v>-33</v>
      </c>
      <c r="X14" s="75">
        <f>#N/A</f>
        <v>0</v>
      </c>
      <c r="Y14" s="198">
        <f>#N/A</f>
        <v>0.4600471487008081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60</v>
      </c>
      <c r="G15" s="106">
        <v>337.62</v>
      </c>
      <c r="H15" s="102">
        <f>#N/A</f>
        <v>277.62</v>
      </c>
      <c r="I15" s="208">
        <f>#N/A</f>
        <v>5.627</v>
      </c>
      <c r="J15" s="108">
        <f>#N/A</f>
        <v>-562.38</v>
      </c>
      <c r="K15" s="108">
        <f>#N/A</f>
        <v>37.513333333333335</v>
      </c>
      <c r="L15" s="108"/>
      <c r="M15" s="108"/>
      <c r="N15" s="108"/>
      <c r="O15" s="108">
        <v>887.61</v>
      </c>
      <c r="P15" s="108">
        <f>#N/A</f>
        <v>12.389999999999986</v>
      </c>
      <c r="Q15" s="148">
        <f>#N/A</f>
        <v>1.0139588332713692</v>
      </c>
      <c r="R15" s="111">
        <v>-366.42</v>
      </c>
      <c r="S15" s="111">
        <f>#N/A</f>
        <v>704.04</v>
      </c>
      <c r="T15" s="146">
        <f>#N/A</f>
        <v>-0.9214016702145079</v>
      </c>
      <c r="U15" s="107">
        <f>F15-лютий!F15</f>
        <v>50</v>
      </c>
      <c r="V15" s="110">
        <f>G15-лютий!G15</f>
        <v>218.09</v>
      </c>
      <c r="W15" s="111">
        <f>#N/A</f>
        <v>168.09</v>
      </c>
      <c r="X15" s="148">
        <f>#N/A</f>
        <v>4.3618</v>
      </c>
      <c r="Y15" s="197">
        <f>#N/A</f>
        <v>-1.9353605034858772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>#N/A</f>
        <v>0</v>
      </c>
      <c r="I16" s="208" t="e">
        <f>G16/F16/100</f>
        <v>#DIV/0!</v>
      </c>
      <c r="J16" s="108">
        <f>#N/A</f>
        <v>0</v>
      </c>
      <c r="K16" s="108" t="e">
        <f>#N/A</f>
        <v>#DIV/0!</v>
      </c>
      <c r="L16" s="108"/>
      <c r="M16" s="108"/>
      <c r="N16" s="108"/>
      <c r="O16" s="108"/>
      <c r="P16" s="108">
        <f>#N/A</f>
        <v>0</v>
      </c>
      <c r="Q16" s="148" t="e">
        <f>#N/A</f>
        <v>#DIV/0!</v>
      </c>
      <c r="R16" s="111">
        <f>O16</f>
        <v>0</v>
      </c>
      <c r="S16" s="111">
        <f>#N/A</f>
        <v>0</v>
      </c>
      <c r="T16" s="146" t="e">
        <f>#N/A</f>
        <v>#DIV/0!</v>
      </c>
      <c r="U16" s="107">
        <f>F16-лютий!F16</f>
        <v>0</v>
      </c>
      <c r="V16" s="110">
        <f>G16-лютий!G16</f>
        <v>0</v>
      </c>
      <c r="W16" s="111">
        <f>#N/A</f>
        <v>0</v>
      </c>
      <c r="X16" s="148" t="e">
        <f>V16/U16*100</f>
        <v>#DIV/0!</v>
      </c>
      <c r="Y16" s="197" t="e">
        <f>#N/A</f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>#N/A</f>
        <v>0</v>
      </c>
      <c r="I17" s="208"/>
      <c r="J17" s="108">
        <f>#N/A</f>
        <v>0</v>
      </c>
      <c r="K17" s="108"/>
      <c r="L17" s="108"/>
      <c r="M17" s="108"/>
      <c r="N17" s="108"/>
      <c r="O17" s="108">
        <v>0.49</v>
      </c>
      <c r="P17" s="108">
        <f>#N/A</f>
        <v>-0.49</v>
      </c>
      <c r="Q17" s="148">
        <f>#N/A</f>
        <v>0</v>
      </c>
      <c r="R17" s="111">
        <v>0</v>
      </c>
      <c r="S17" s="111">
        <f>#N/A</f>
        <v>0</v>
      </c>
      <c r="T17" s="146" t="e">
        <f>#N/A</f>
        <v>#DIV/0!</v>
      </c>
      <c r="U17" s="107">
        <f>F17-лютий!F17</f>
        <v>0</v>
      </c>
      <c r="V17" s="110">
        <f>G17-лютий!G17</f>
        <v>0</v>
      </c>
      <c r="W17" s="111">
        <f>#N/A</f>
        <v>0</v>
      </c>
      <c r="X17" s="148"/>
      <c r="Y17" s="197" t="e">
        <f>#N/A</f>
        <v>#DIV/0!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120</v>
      </c>
      <c r="G18" s="106">
        <v>194.24</v>
      </c>
      <c r="H18" s="102">
        <f>#N/A</f>
        <v>74.24000000000001</v>
      </c>
      <c r="I18" s="208">
        <f>#N/A</f>
        <v>1.6186666666666667</v>
      </c>
      <c r="J18" s="108">
        <f>#N/A</f>
        <v>-41.359999999999985</v>
      </c>
      <c r="K18" s="108">
        <f>#N/A</f>
        <v>82.44482173174873</v>
      </c>
      <c r="L18" s="108"/>
      <c r="M18" s="108"/>
      <c r="N18" s="108"/>
      <c r="O18" s="108">
        <v>220.59</v>
      </c>
      <c r="P18" s="108">
        <f>#N/A</f>
        <v>15.009999999999991</v>
      </c>
      <c r="Q18" s="148">
        <f>#N/A</f>
        <v>1.0680447889750215</v>
      </c>
      <c r="R18" s="111">
        <v>118.46</v>
      </c>
      <c r="S18" s="111">
        <f>#N/A</f>
        <v>75.78000000000002</v>
      </c>
      <c r="T18" s="146">
        <f>#N/A</f>
        <v>1.639709606618268</v>
      </c>
      <c r="U18" s="107">
        <f>F18-лютий!F18</f>
        <v>0</v>
      </c>
      <c r="V18" s="110">
        <f>G18-лютий!G18</f>
        <v>0</v>
      </c>
      <c r="W18" s="111">
        <f>#N/A</f>
        <v>0</v>
      </c>
      <c r="X18" s="148" t="e">
        <f>#N/A</f>
        <v>#DIV/0!</v>
      </c>
      <c r="Y18" s="197">
        <f>#N/A</f>
        <v>0.5716648176432464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v>33615</v>
      </c>
      <c r="G19" s="158">
        <v>27605.58</v>
      </c>
      <c r="H19" s="102">
        <f>#N/A</f>
        <v>-6009.419999999998</v>
      </c>
      <c r="I19" s="208">
        <f>#N/A</f>
        <v>0.8212280232039268</v>
      </c>
      <c r="J19" s="108">
        <f>#N/A</f>
        <v>-124122.42</v>
      </c>
      <c r="K19" s="108">
        <f>#N/A</f>
        <v>18.19412369503322</v>
      </c>
      <c r="L19" s="108"/>
      <c r="M19" s="108"/>
      <c r="N19" s="108"/>
      <c r="O19" s="108">
        <v>121950.14</v>
      </c>
      <c r="P19" s="108">
        <f>#N/A</f>
        <v>29777.86</v>
      </c>
      <c r="Q19" s="148">
        <f>#N/A</f>
        <v>1.2441806134867905</v>
      </c>
      <c r="R19" s="111">
        <v>27633.86</v>
      </c>
      <c r="S19" s="111">
        <f>#N/A</f>
        <v>-28.279999999998836</v>
      </c>
      <c r="T19" s="146">
        <f>#N/A</f>
        <v>0.9989766178159692</v>
      </c>
      <c r="U19" s="107">
        <f>F19-лютий!F19</f>
        <v>24549</v>
      </c>
      <c r="V19" s="110">
        <f>G19-лютий!G19</f>
        <v>19077.010000000002</v>
      </c>
      <c r="W19" s="111">
        <f>#N/A</f>
        <v>-5471.989999999998</v>
      </c>
      <c r="X19" s="148">
        <f>#N/A</f>
        <v>0.777099270846063</v>
      </c>
      <c r="Y19" s="197">
        <f>#N/A</f>
        <v>-0.2452039956708213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13215</v>
      </c>
      <c r="G20" s="141">
        <v>12638.37</v>
      </c>
      <c r="H20" s="170">
        <f>#N/A</f>
        <v>-576.6299999999992</v>
      </c>
      <c r="I20" s="211">
        <f>#N/A</f>
        <v>0.9563654937570942</v>
      </c>
      <c r="J20" s="171">
        <f>#N/A</f>
        <v>-54069.63</v>
      </c>
      <c r="K20" s="171">
        <f>#N/A</f>
        <v>18.945808598668826</v>
      </c>
      <c r="L20" s="171"/>
      <c r="M20" s="171"/>
      <c r="N20" s="171"/>
      <c r="O20" s="171">
        <v>60736.45</v>
      </c>
      <c r="P20" s="171">
        <f>#N/A</f>
        <v>5971.550000000003</v>
      </c>
      <c r="Q20" s="180">
        <f>#N/A</f>
        <v>1.098319048940134</v>
      </c>
      <c r="R20" s="116">
        <v>17734.06</v>
      </c>
      <c r="S20" s="116">
        <f>#N/A</f>
        <v>-5095.6900000000005</v>
      </c>
      <c r="T20" s="172">
        <f>#N/A</f>
        <v>0.7126608345748238</v>
      </c>
      <c r="U20" s="136">
        <f>F20-лютий!F20</f>
        <v>4149</v>
      </c>
      <c r="V20" s="124">
        <f>G20-лютий!G20</f>
        <v>4109.800000000001</v>
      </c>
      <c r="W20" s="116">
        <f>#N/A</f>
        <v>-39.19999999999891</v>
      </c>
      <c r="X20" s="180">
        <f>#N/A</f>
        <v>0.9905519402265609</v>
      </c>
      <c r="Y20" s="197">
        <f>#N/A</f>
        <v>-0.3856582143653102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3900</v>
      </c>
      <c r="G21" s="141">
        <v>3512.86</v>
      </c>
      <c r="H21" s="170">
        <f>#N/A</f>
        <v>-387.1399999999999</v>
      </c>
      <c r="I21" s="211">
        <f>#N/A</f>
        <v>0.9007333333333334</v>
      </c>
      <c r="J21" s="171">
        <f>#N/A</f>
        <v>-12183.14</v>
      </c>
      <c r="K21" s="171">
        <f>#N/A</f>
        <v>22.380606523955148</v>
      </c>
      <c r="L21" s="171"/>
      <c r="M21" s="171"/>
      <c r="N21" s="171"/>
      <c r="O21" s="171">
        <v>12528.71</v>
      </c>
      <c r="P21" s="171">
        <f>#N/A</f>
        <v>3167.290000000001</v>
      </c>
      <c r="Q21" s="180">
        <f>#N/A</f>
        <v>1.2528025630731336</v>
      </c>
      <c r="R21" s="116">
        <v>2236.79</v>
      </c>
      <c r="S21" s="116">
        <f>#N/A</f>
        <v>1276.0700000000002</v>
      </c>
      <c r="T21" s="152">
        <f>#N/A</f>
        <v>1.570491642040603</v>
      </c>
      <c r="U21" s="136">
        <f>F21-лютий!F21</f>
        <v>3900</v>
      </c>
      <c r="V21" s="124">
        <f>G21-лютий!G21</f>
        <v>3512.86</v>
      </c>
      <c r="W21" s="116">
        <f>#N/A</f>
        <v>-387.1399999999999</v>
      </c>
      <c r="X21" s="180">
        <f>#N/A</f>
        <v>0.9007333333333334</v>
      </c>
      <c r="Y21" s="197">
        <f>#N/A</f>
        <v>0.31768907896746934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16500</v>
      </c>
      <c r="G22" s="141">
        <v>11454.35</v>
      </c>
      <c r="H22" s="170">
        <f>#N/A</f>
        <v>-5045.65</v>
      </c>
      <c r="I22" s="211">
        <f>#N/A</f>
        <v>0.6942030303030303</v>
      </c>
      <c r="J22" s="171">
        <f>#N/A</f>
        <v>-57869.65</v>
      </c>
      <c r="K22" s="171">
        <f>#N/A</f>
        <v>16.522921354797763</v>
      </c>
      <c r="L22" s="171"/>
      <c r="M22" s="171"/>
      <c r="N22" s="171"/>
      <c r="O22" s="171">
        <v>48684.98</v>
      </c>
      <c r="P22" s="171">
        <f>#N/A</f>
        <v>20639.019999999997</v>
      </c>
      <c r="Q22" s="180">
        <f>#N/A</f>
        <v>1.4239299266426728</v>
      </c>
      <c r="R22" s="116">
        <v>7663.01</v>
      </c>
      <c r="S22" s="116">
        <f>#N/A</f>
        <v>3791.34</v>
      </c>
      <c r="T22" s="152">
        <f>#N/A</f>
        <v>1.4947585870304227</v>
      </c>
      <c r="U22" s="136">
        <f>F22-лютий!F22</f>
        <v>16500</v>
      </c>
      <c r="V22" s="124">
        <f>G22-лютий!G22</f>
        <v>11454.35</v>
      </c>
      <c r="W22" s="116">
        <f>#N/A</f>
        <v>-5045.65</v>
      </c>
      <c r="X22" s="180">
        <f>#N/A</f>
        <v>0.6942030303030303</v>
      </c>
      <c r="Y22" s="197">
        <f>#N/A</f>
        <v>0.07082866038774993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118551.6</v>
      </c>
      <c r="G23" s="158">
        <v>120185.13</v>
      </c>
      <c r="H23" s="102">
        <f>#N/A</f>
        <v>1633.5299999999988</v>
      </c>
      <c r="I23" s="208">
        <f>#N/A</f>
        <v>1.013779063293958</v>
      </c>
      <c r="J23" s="108">
        <f>#N/A</f>
        <v>-351382.06999999995</v>
      </c>
      <c r="K23" s="108">
        <f>#N/A</f>
        <v>25.486320931566063</v>
      </c>
      <c r="L23" s="108"/>
      <c r="M23" s="108"/>
      <c r="N23" s="108"/>
      <c r="O23" s="108">
        <v>430705.5</v>
      </c>
      <c r="P23" s="108">
        <f>#N/A</f>
        <v>40861.69999999995</v>
      </c>
      <c r="Q23" s="148">
        <f>#N/A</f>
        <v>1.0948715537646954</v>
      </c>
      <c r="R23" s="108">
        <v>103972.5</v>
      </c>
      <c r="S23" s="111">
        <f>#N/A</f>
        <v>16212.630000000005</v>
      </c>
      <c r="T23" s="147">
        <f>#N/A</f>
        <v>1.1559319050710526</v>
      </c>
      <c r="U23" s="107">
        <f>F23-лютий!F23</f>
        <v>24978.5</v>
      </c>
      <c r="V23" s="110">
        <f>G23-лютий!G23</f>
        <v>27214.42</v>
      </c>
      <c r="W23" s="111">
        <f>#N/A</f>
        <v>2235.9199999999983</v>
      </c>
      <c r="X23" s="148">
        <f>#N/A</f>
        <v>1.089513781852393</v>
      </c>
      <c r="Y23" s="197">
        <f>T23-Q23</f>
        <v>0.06106035130635723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49869.009999999995</v>
      </c>
      <c r="G24" s="158">
        <f>G25+G32+G35</f>
        <v>51067.02</v>
      </c>
      <c r="H24" s="102">
        <f>#N/A</f>
        <v>1198.010000000002</v>
      </c>
      <c r="I24" s="208">
        <f>#N/A</f>
        <v>1.0240231358111982</v>
      </c>
      <c r="J24" s="108">
        <f>#N/A</f>
        <v>-165774.98</v>
      </c>
      <c r="K24" s="148">
        <f>#N/A</f>
        <v>0.23550336189483587</v>
      </c>
      <c r="L24" s="108"/>
      <c r="M24" s="108"/>
      <c r="N24" s="108"/>
      <c r="O24" s="108">
        <v>207231.03</v>
      </c>
      <c r="P24" s="108">
        <f>#N/A</f>
        <v>9610.970000000001</v>
      </c>
      <c r="Q24" s="148">
        <f>#N/A</f>
        <v>1.0463780448323787</v>
      </c>
      <c r="R24" s="108">
        <v>48563.36</v>
      </c>
      <c r="S24" s="111">
        <f>#N/A</f>
        <v>2503.659999999996</v>
      </c>
      <c r="T24" s="147">
        <f>#N/A</f>
        <v>1.0515545052895845</v>
      </c>
      <c r="U24" s="107">
        <f>F24-лютий!F24</f>
        <v>16176.499999999993</v>
      </c>
      <c r="V24" s="110">
        <f>G24-лютий!G24</f>
        <v>18158.999999999993</v>
      </c>
      <c r="W24" s="111">
        <f>#N/A</f>
        <v>1982.5</v>
      </c>
      <c r="X24" s="148">
        <f>#N/A</f>
        <v>1.1225543226285044</v>
      </c>
      <c r="Y24" s="197">
        <f>#N/A</f>
        <v>0.005176460457205767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6357.5</v>
      </c>
      <c r="G25" s="141">
        <v>6941.75</v>
      </c>
      <c r="H25" s="170">
        <f>#N/A</f>
        <v>584.25</v>
      </c>
      <c r="I25" s="211">
        <f>#N/A</f>
        <v>1.0918993314982304</v>
      </c>
      <c r="J25" s="171">
        <f>#N/A</f>
        <v>-21842.25</v>
      </c>
      <c r="K25" s="180">
        <f>#N/A</f>
        <v>0.2411669677598666</v>
      </c>
      <c r="L25" s="171"/>
      <c r="M25" s="171"/>
      <c r="N25" s="171"/>
      <c r="O25" s="171">
        <v>25414.16</v>
      </c>
      <c r="P25" s="171">
        <f>#N/A</f>
        <v>3369.84</v>
      </c>
      <c r="Q25" s="180">
        <f>#N/A</f>
        <v>1.1325969459545386</v>
      </c>
      <c r="R25" s="179">
        <v>5213.94</v>
      </c>
      <c r="S25" s="116">
        <f>#N/A</f>
        <v>1727.8100000000004</v>
      </c>
      <c r="T25" s="152">
        <f>#N/A</f>
        <v>1.3313827930509365</v>
      </c>
      <c r="U25" s="136">
        <f>F25-лютий!F25</f>
        <v>936.5</v>
      </c>
      <c r="V25" s="124">
        <f>G25-лютий!G25</f>
        <v>1389.2299999999996</v>
      </c>
      <c r="W25" s="116">
        <f>#N/A</f>
        <v>452.72999999999956</v>
      </c>
      <c r="X25" s="180">
        <f>#N/A</f>
        <v>1.4834276561665771</v>
      </c>
      <c r="Y25" s="197">
        <f>#N/A</f>
        <v>0.1987858470963979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211.61</v>
      </c>
      <c r="G26" s="139">
        <f>G28+G29</f>
        <v>511.56</v>
      </c>
      <c r="H26" s="158">
        <f>#N/A</f>
        <v>299.95</v>
      </c>
      <c r="I26" s="212">
        <f>#N/A</f>
        <v>2.4174660932848164</v>
      </c>
      <c r="J26" s="176">
        <f>#N/A</f>
        <v>-1010.44</v>
      </c>
      <c r="K26" s="191">
        <f>#N/A</f>
        <v>0.33611038107752955</v>
      </c>
      <c r="L26" s="176"/>
      <c r="M26" s="176"/>
      <c r="N26" s="176"/>
      <c r="O26" s="176">
        <f>O28+O29</f>
        <v>1512.89</v>
      </c>
      <c r="P26" s="176">
        <f>#N/A</f>
        <v>9.1099999999999</v>
      </c>
      <c r="Q26" s="191">
        <f>#N/A</f>
        <v>1.006021587821983</v>
      </c>
      <c r="R26" s="140">
        <f>R28+R29</f>
        <v>157.08</v>
      </c>
      <c r="S26" s="201">
        <f>#N/A</f>
        <v>354.48</v>
      </c>
      <c r="T26" s="162">
        <f>#N/A</f>
        <v>3.2566844919786093</v>
      </c>
      <c r="U26" s="167">
        <f>F26-лютий!F26</f>
        <v>16.5</v>
      </c>
      <c r="V26" s="167">
        <f>G26-лютий!G26</f>
        <v>198.20999999999998</v>
      </c>
      <c r="W26" s="176">
        <f>#N/A</f>
        <v>181.70999999999998</v>
      </c>
      <c r="X26" s="191">
        <f>#N/A</f>
        <v>12.012727272727272</v>
      </c>
      <c r="Y26" s="197">
        <f>#N/A</f>
        <v>2.250662904156626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6145.89</v>
      </c>
      <c r="G27" s="139">
        <f>G30+G31</f>
        <v>6430.19</v>
      </c>
      <c r="H27" s="158">
        <f>#N/A</f>
        <v>284.2999999999993</v>
      </c>
      <c r="I27" s="212">
        <f>#N/A</f>
        <v>1.0462585565312752</v>
      </c>
      <c r="J27" s="176">
        <f>#N/A</f>
        <v>-20831.81</v>
      </c>
      <c r="K27" s="191">
        <f>#N/A</f>
        <v>0.2358664074535984</v>
      </c>
      <c r="L27" s="176"/>
      <c r="M27" s="176"/>
      <c r="N27" s="176"/>
      <c r="O27" s="176">
        <f>O30+O31</f>
        <v>23901.28</v>
      </c>
      <c r="P27" s="176">
        <f>#N/A</f>
        <v>3360.720000000001</v>
      </c>
      <c r="Q27" s="191">
        <f>#N/A</f>
        <v>1.1406083690915299</v>
      </c>
      <c r="R27" s="140">
        <f>R30+R31</f>
        <v>5056.87</v>
      </c>
      <c r="S27" s="201">
        <f>#N/A</f>
        <v>1373.3199999999997</v>
      </c>
      <c r="T27" s="162">
        <f>#N/A</f>
        <v>1.2715751047584771</v>
      </c>
      <c r="U27" s="167">
        <f>F27-лютий!F27</f>
        <v>920</v>
      </c>
      <c r="V27" s="167">
        <f>G27-лютий!G27</f>
        <v>1191.0200000000004</v>
      </c>
      <c r="W27" s="176">
        <f>#N/A</f>
        <v>271.02000000000044</v>
      </c>
      <c r="X27" s="191">
        <f>#N/A</f>
        <v>1.2945869565217396</v>
      </c>
      <c r="Y27" s="197">
        <f>#N/A</f>
        <v>0.13096673566694728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67.8</v>
      </c>
      <c r="G28" s="206">
        <v>81.57</v>
      </c>
      <c r="H28" s="218">
        <f>#N/A</f>
        <v>13.769999999999996</v>
      </c>
      <c r="I28" s="220">
        <f>#N/A</f>
        <v>1.2030973451327434</v>
      </c>
      <c r="J28" s="221">
        <f>#N/A</f>
        <v>-234.43</v>
      </c>
      <c r="K28" s="222">
        <f>#N/A</f>
        <v>0.258132911392405</v>
      </c>
      <c r="L28" s="176"/>
      <c r="M28" s="176"/>
      <c r="N28" s="176"/>
      <c r="O28" s="221">
        <v>275.91</v>
      </c>
      <c r="P28" s="221">
        <f>#N/A</f>
        <v>40.089999999999975</v>
      </c>
      <c r="Q28" s="222">
        <f>#N/A</f>
        <v>1.1453010039505636</v>
      </c>
      <c r="R28" s="221">
        <v>132.33</v>
      </c>
      <c r="S28" s="221">
        <f>#N/A</f>
        <v>-50.76000000000002</v>
      </c>
      <c r="T28" s="222">
        <f>#N/A</f>
        <v>0.616413511675357</v>
      </c>
      <c r="U28" s="206">
        <f>F28-лютий!F28</f>
        <v>8.5</v>
      </c>
      <c r="V28" s="206">
        <f>G28-лютий!G28</f>
        <v>7.409999999999997</v>
      </c>
      <c r="W28" s="221">
        <f>#N/A</f>
        <v>-1.0900000000000034</v>
      </c>
      <c r="X28" s="222">
        <f>#N/A</f>
        <v>0.8717647058823526</v>
      </c>
      <c r="Y28" s="465">
        <f>#N/A</f>
        <v>-0.5288874922752066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143.81</v>
      </c>
      <c r="G29" s="206">
        <v>429.99</v>
      </c>
      <c r="H29" s="218">
        <f>#N/A</f>
        <v>286.18</v>
      </c>
      <c r="I29" s="220">
        <f>#N/A</f>
        <v>2.9899867881232183</v>
      </c>
      <c r="J29" s="221">
        <f>#N/A</f>
        <v>-776.01</v>
      </c>
      <c r="K29" s="222">
        <f>#N/A</f>
        <v>0.3565422885572139</v>
      </c>
      <c r="L29" s="176"/>
      <c r="M29" s="176"/>
      <c r="N29" s="176"/>
      <c r="O29" s="221">
        <v>1236.98</v>
      </c>
      <c r="P29" s="221">
        <f>#N/A</f>
        <v>-30.980000000000018</v>
      </c>
      <c r="Q29" s="222">
        <f>#N/A</f>
        <v>0.9749551326618053</v>
      </c>
      <c r="R29" s="221">
        <v>24.75</v>
      </c>
      <c r="S29" s="221">
        <f>#N/A</f>
        <v>405.24</v>
      </c>
      <c r="T29" s="222">
        <f>#N/A</f>
        <v>17.373333333333335</v>
      </c>
      <c r="U29" s="206">
        <f>F29-лютий!F29</f>
        <v>8</v>
      </c>
      <c r="V29" s="206">
        <f>G29-лютий!G29</f>
        <v>190.8</v>
      </c>
      <c r="W29" s="221">
        <f>#N/A</f>
        <v>182.8</v>
      </c>
      <c r="X29" s="222">
        <f>#N/A</f>
        <v>23.85</v>
      </c>
      <c r="Y29" s="465">
        <f>#N/A</f>
        <v>16.39837820067153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320.09</v>
      </c>
      <c r="G30" s="206">
        <v>552.95</v>
      </c>
      <c r="H30" s="218">
        <f>#N/A</f>
        <v>232.86000000000007</v>
      </c>
      <c r="I30" s="220">
        <f>#N/A</f>
        <v>1.727482895435659</v>
      </c>
      <c r="J30" s="221">
        <f>#N/A</f>
        <v>-1802.05</v>
      </c>
      <c r="K30" s="222">
        <f>#N/A</f>
        <v>0.2347983014861996</v>
      </c>
      <c r="L30" s="176"/>
      <c r="M30" s="176"/>
      <c r="N30" s="176"/>
      <c r="O30" s="221">
        <v>2220.25</v>
      </c>
      <c r="P30" s="221">
        <f>#N/A</f>
        <v>134.75</v>
      </c>
      <c r="Q30" s="222">
        <f>#N/A</f>
        <v>1.0606913635851818</v>
      </c>
      <c r="R30" s="221">
        <v>65.29</v>
      </c>
      <c r="S30" s="221">
        <f>#N/A</f>
        <v>487.66</v>
      </c>
      <c r="T30" s="222">
        <f>#N/A</f>
        <v>8.469137693368051</v>
      </c>
      <c r="U30" s="206">
        <f>F30-лютий!F30</f>
        <v>20</v>
      </c>
      <c r="V30" s="206">
        <f>G30-лютий!G30</f>
        <v>87.01000000000005</v>
      </c>
      <c r="W30" s="221">
        <f>#N/A</f>
        <v>67.01000000000005</v>
      </c>
      <c r="X30" s="222">
        <f>#N/A</f>
        <v>4.350500000000002</v>
      </c>
      <c r="Y30" s="465">
        <f>#N/A</f>
        <v>7.408446329782869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5825.8</v>
      </c>
      <c r="G31" s="206">
        <v>5877.24</v>
      </c>
      <c r="H31" s="218">
        <f>#N/A</f>
        <v>51.4399999999996</v>
      </c>
      <c r="I31" s="220">
        <f>#N/A</f>
        <v>1.0088296886264547</v>
      </c>
      <c r="J31" s="221">
        <f>#N/A</f>
        <v>-19029.760000000002</v>
      </c>
      <c r="K31" s="222">
        <f>#N/A</f>
        <v>0.23596739872325048</v>
      </c>
      <c r="L31" s="176"/>
      <c r="M31" s="176"/>
      <c r="N31" s="176"/>
      <c r="O31" s="221">
        <v>21681.03</v>
      </c>
      <c r="P31" s="221">
        <f>#N/A</f>
        <v>3225.970000000001</v>
      </c>
      <c r="Q31" s="222">
        <f>#N/A</f>
        <v>1.148792285237371</v>
      </c>
      <c r="R31" s="221">
        <v>4991.58</v>
      </c>
      <c r="S31" s="221">
        <f>#N/A</f>
        <v>885.6599999999999</v>
      </c>
      <c r="T31" s="222">
        <f>#N/A</f>
        <v>1.1774307934561803</v>
      </c>
      <c r="U31" s="206">
        <f>F31-лютий!F31</f>
        <v>900</v>
      </c>
      <c r="V31" s="206">
        <f>G31-лютий!G31</f>
        <v>1104.0100000000002</v>
      </c>
      <c r="W31" s="221"/>
      <c r="X31" s="222">
        <f>#N/A</f>
        <v>1.226677777777778</v>
      </c>
      <c r="Y31" s="465">
        <f>#N/A</f>
        <v>0.0286385082188092</v>
      </c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160.03</v>
      </c>
      <c r="G32" s="120">
        <v>345.07</v>
      </c>
      <c r="H32" s="170">
        <f>#N/A</f>
        <v>185.04</v>
      </c>
      <c r="I32" s="211">
        <f>#N/A</f>
        <v>2.156283196900581</v>
      </c>
      <c r="J32" s="171">
        <f>#N/A</f>
        <v>63.06999999999999</v>
      </c>
      <c r="K32" s="180">
        <f>#N/A</f>
        <v>1.2236524822695036</v>
      </c>
      <c r="L32" s="171"/>
      <c r="M32" s="171"/>
      <c r="N32" s="171"/>
      <c r="O32" s="171">
        <v>645.26</v>
      </c>
      <c r="P32" s="171">
        <f>#N/A</f>
        <v>-363.26</v>
      </c>
      <c r="Q32" s="180">
        <f>#N/A</f>
        <v>0.43703313393050863</v>
      </c>
      <c r="R32" s="121">
        <v>31.25</v>
      </c>
      <c r="S32" s="121">
        <f>#N/A</f>
        <v>313.82</v>
      </c>
      <c r="T32" s="150">
        <f>G32/R32</f>
        <v>11.04224</v>
      </c>
      <c r="U32" s="136">
        <f>F32-лютий!F32</f>
        <v>1</v>
      </c>
      <c r="V32" s="124">
        <f>G32-лютий!G32</f>
        <v>79.25</v>
      </c>
      <c r="W32" s="116">
        <f>#N/A</f>
        <v>78.25</v>
      </c>
      <c r="X32" s="180">
        <f>#N/A</f>
        <v>79.25</v>
      </c>
      <c r="Y32" s="198">
        <f>#N/A</f>
        <v>10.60520686606949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121.34</v>
      </c>
      <c r="H33" s="71">
        <f>#N/A</f>
        <v>93.49000000000001</v>
      </c>
      <c r="I33" s="209">
        <f>#N/A</f>
        <v>4.356912028725314</v>
      </c>
      <c r="J33" s="72">
        <f>#N/A</f>
        <v>21.340000000000003</v>
      </c>
      <c r="K33" s="75">
        <f>#N/A</f>
        <v>1.2134</v>
      </c>
      <c r="L33" s="72"/>
      <c r="M33" s="72"/>
      <c r="N33" s="72"/>
      <c r="O33" s="72">
        <v>241.36</v>
      </c>
      <c r="P33" s="72">
        <f>#N/A</f>
        <v>-141.36</v>
      </c>
      <c r="Q33" s="75">
        <f>#N/A</f>
        <v>0.41431885979449784</v>
      </c>
      <c r="R33" s="72">
        <v>-50</v>
      </c>
      <c r="S33" s="72">
        <f>#N/A</f>
        <v>171.34</v>
      </c>
      <c r="T33" s="75">
        <f>#N/A</f>
        <v>-2.4268</v>
      </c>
      <c r="U33" s="73">
        <f>F33-лютий!F33</f>
        <v>0</v>
      </c>
      <c r="V33" s="98">
        <f>G33-лютий!G33</f>
        <v>60.5</v>
      </c>
      <c r="W33" s="74">
        <f>#N/A</f>
        <v>60.5</v>
      </c>
      <c r="X33" s="75" t="e">
        <f>#N/A</f>
        <v>#DIV/0!</v>
      </c>
      <c r="Y33" s="465">
        <f>#N/A</f>
        <v>-2.841118859794498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132.18</v>
      </c>
      <c r="G34" s="94">
        <v>223.73</v>
      </c>
      <c r="H34" s="71">
        <f>#N/A</f>
        <v>91.54999999999998</v>
      </c>
      <c r="I34" s="209">
        <f>#N/A</f>
        <v>1.6926161295203508</v>
      </c>
      <c r="J34" s="72">
        <f>#N/A</f>
        <v>41.72999999999999</v>
      </c>
      <c r="K34" s="75">
        <f>#N/A</f>
        <v>1.2292857142857143</v>
      </c>
      <c r="L34" s="72"/>
      <c r="M34" s="72"/>
      <c r="N34" s="72"/>
      <c r="O34" s="72">
        <v>403.91</v>
      </c>
      <c r="P34" s="72">
        <f>#N/A</f>
        <v>-221.91000000000003</v>
      </c>
      <c r="Q34" s="75">
        <f>#N/A</f>
        <v>0.45059542967492755</v>
      </c>
      <c r="R34" s="72">
        <v>81.25</v>
      </c>
      <c r="S34" s="72">
        <f>#N/A</f>
        <v>142.48</v>
      </c>
      <c r="T34" s="75">
        <f>#N/A</f>
        <v>2.7536</v>
      </c>
      <c r="U34" s="73">
        <f>F34-лютий!F34</f>
        <v>1</v>
      </c>
      <c r="V34" s="98">
        <f>G34-лютий!G34</f>
        <v>18.75</v>
      </c>
      <c r="W34" s="74"/>
      <c r="X34" s="75">
        <f>#N/A</f>
        <v>18.75</v>
      </c>
      <c r="Y34" s="465">
        <f>#N/A</f>
        <v>2.3030045703250726</v>
      </c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43351.479999999996</v>
      </c>
      <c r="G35" s="120">
        <v>43780.2</v>
      </c>
      <c r="H35" s="102">
        <f>#N/A</f>
        <v>428.72000000000116</v>
      </c>
      <c r="I35" s="211">
        <f>#N/A</f>
        <v>1.0098893970863279</v>
      </c>
      <c r="J35" s="171">
        <f>#N/A</f>
        <v>-143995.8</v>
      </c>
      <c r="K35" s="180">
        <f>#N/A</f>
        <v>0.23315120143149282</v>
      </c>
      <c r="L35" s="171"/>
      <c r="M35" s="171"/>
      <c r="N35" s="171"/>
      <c r="O35" s="171">
        <v>181171.61</v>
      </c>
      <c r="P35" s="171">
        <f>#N/A</f>
        <v>6604.390000000014</v>
      </c>
      <c r="Q35" s="180">
        <f>#N/A</f>
        <v>1.0364537799272193</v>
      </c>
      <c r="R35" s="122">
        <v>43318.17</v>
      </c>
      <c r="S35" s="122">
        <f>#N/A</f>
        <v>462.02999999999884</v>
      </c>
      <c r="T35" s="149">
        <f>#N/A</f>
        <v>1.0106659630358346</v>
      </c>
      <c r="U35" s="136">
        <f>F35-лютий!F35</f>
        <v>15238.999999999996</v>
      </c>
      <c r="V35" s="124">
        <f>G35-лютий!G35</f>
        <v>16690.519999999997</v>
      </c>
      <c r="W35" s="116">
        <f>#N/A</f>
        <v>1451.5200000000004</v>
      </c>
      <c r="X35" s="180">
        <f>#N/A</f>
        <v>1.0952503445107946</v>
      </c>
      <c r="Y35" s="198">
        <f>#N/A</f>
        <v>-0.025787816891384763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>#N/A</f>
        <v>60690</v>
      </c>
      <c r="F36" s="139">
        <f>#N/A</f>
        <v>14365.23</v>
      </c>
      <c r="G36" s="139">
        <f>G38+G40</f>
        <v>13649.69</v>
      </c>
      <c r="H36" s="158">
        <f>#N/A</f>
        <v>-715.539999999999</v>
      </c>
      <c r="I36" s="212">
        <f>#N/A</f>
        <v>0.9501894504995744</v>
      </c>
      <c r="J36" s="176">
        <f>#N/A</f>
        <v>-47040.31</v>
      </c>
      <c r="K36" s="191">
        <f>#N/A</f>
        <v>0.22490838688416545</v>
      </c>
      <c r="L36" s="176"/>
      <c r="M36" s="176"/>
      <c r="N36" s="176"/>
      <c r="O36" s="176">
        <f>O38+O40</f>
        <v>58608.68</v>
      </c>
      <c r="P36" s="176">
        <f>#N/A</f>
        <v>2081.3199999999997</v>
      </c>
      <c r="Q36" s="191">
        <f>#N/A</f>
        <v>1.0355121459824723</v>
      </c>
      <c r="R36" s="140">
        <f>R38+R40</f>
        <v>14435.439999999999</v>
      </c>
      <c r="S36" s="140">
        <f>#N/A</f>
        <v>-785.7499999999982</v>
      </c>
      <c r="T36" s="162">
        <f>#N/A</f>
        <v>0.945567990999928</v>
      </c>
      <c r="U36" s="167">
        <f>F36-лютий!F36</f>
        <v>5139</v>
      </c>
      <c r="V36" s="167">
        <f>G36-лютий!G36</f>
        <v>5529.67</v>
      </c>
      <c r="W36" s="176">
        <f>#N/A</f>
        <v>390.6700000000001</v>
      </c>
      <c r="X36" s="191">
        <f>#N/A</f>
        <v>107.60206265810469</v>
      </c>
      <c r="Y36" s="197">
        <f>#N/A</f>
        <v>-0.08994415498254427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>#N/A</f>
        <v>127086</v>
      </c>
      <c r="F37" s="139">
        <f>#N/A</f>
        <v>28986.25</v>
      </c>
      <c r="G37" s="139">
        <f>#N/A</f>
        <v>30130.51</v>
      </c>
      <c r="H37" s="158">
        <f>#N/A</f>
        <v>1144.2599999999984</v>
      </c>
      <c r="I37" s="212">
        <f>#N/A</f>
        <v>1.039475958428565</v>
      </c>
      <c r="J37" s="176">
        <f>#N/A</f>
        <v>-96955.49</v>
      </c>
      <c r="K37" s="191">
        <f>#N/A</f>
        <v>0.23708756275278156</v>
      </c>
      <c r="L37" s="176"/>
      <c r="M37" s="176"/>
      <c r="N37" s="176"/>
      <c r="O37" s="176">
        <f>O39+O41</f>
        <v>122562.93000000001</v>
      </c>
      <c r="P37" s="176">
        <f>#N/A</f>
        <v>4523.069999999992</v>
      </c>
      <c r="Q37" s="191">
        <f>#N/A</f>
        <v>1.0369040622641772</v>
      </c>
      <c r="R37" s="140">
        <f>R39+R41</f>
        <v>28882.730000000003</v>
      </c>
      <c r="S37" s="140">
        <f>#N/A</f>
        <v>1247.7799999999952</v>
      </c>
      <c r="T37" s="162">
        <f>#N/A</f>
        <v>1.0432015948630893</v>
      </c>
      <c r="U37" s="167">
        <f>F37-січень!F37</f>
        <v>19700</v>
      </c>
      <c r="V37" s="167">
        <f>G37-лютий!G37</f>
        <v>11160.849999999999</v>
      </c>
      <c r="W37" s="176">
        <f>#N/A</f>
        <v>-8539.150000000001</v>
      </c>
      <c r="X37" s="191">
        <f>V37/U37</f>
        <v>0.5665406091370557</v>
      </c>
      <c r="Y37" s="197">
        <f>#N/A</f>
        <v>0.006297532598912081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13784.4</v>
      </c>
      <c r="G38" s="206">
        <v>13383.57</v>
      </c>
      <c r="H38" s="218">
        <f>#N/A</f>
        <v>-400.8299999999999</v>
      </c>
      <c r="I38" s="220">
        <f>#N/A</f>
        <v>0.970921476451641</v>
      </c>
      <c r="J38" s="221">
        <f>#N/A</f>
        <v>-43906.43</v>
      </c>
      <c r="K38" s="222">
        <f>#N/A</f>
        <v>0.23361092686332693</v>
      </c>
      <c r="L38" s="176"/>
      <c r="M38" s="176"/>
      <c r="N38" s="176"/>
      <c r="O38" s="221">
        <v>55246.24</v>
      </c>
      <c r="P38" s="221">
        <f>#N/A</f>
        <v>2043.760000000002</v>
      </c>
      <c r="Q38" s="222">
        <f>#N/A</f>
        <v>1.0369936487985427</v>
      </c>
      <c r="R38" s="221">
        <v>14138.14</v>
      </c>
      <c r="S38" s="221">
        <f>#N/A</f>
        <v>-754.5699999999997</v>
      </c>
      <c r="T38" s="222">
        <f>#N/A</f>
        <v>0.9466287644626521</v>
      </c>
      <c r="U38" s="206">
        <f>F38-лютий!F38</f>
        <v>4900</v>
      </c>
      <c r="V38" s="206">
        <f>G38-лютий!G38</f>
        <v>5428.759999999999</v>
      </c>
      <c r="W38" s="221">
        <f>#N/A</f>
        <v>528.7599999999993</v>
      </c>
      <c r="X38" s="222">
        <f>#N/A</f>
        <v>110.79102040816325</v>
      </c>
      <c r="Y38" s="465">
        <f>#N/A</f>
        <v>-0.09036488433589063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24393.45</v>
      </c>
      <c r="G39" s="206">
        <v>25204.71</v>
      </c>
      <c r="H39" s="218">
        <f>#N/A</f>
        <v>811.2599999999984</v>
      </c>
      <c r="I39" s="220">
        <f>#N/A</f>
        <v>1.033257288329449</v>
      </c>
      <c r="J39" s="221">
        <f>#N/A</f>
        <v>-80781.29000000001</v>
      </c>
      <c r="K39" s="222">
        <f>#N/A</f>
        <v>0.2378116921102787</v>
      </c>
      <c r="L39" s="176"/>
      <c r="M39" s="176"/>
      <c r="N39" s="176"/>
      <c r="O39" s="221">
        <v>102196.35</v>
      </c>
      <c r="P39" s="221">
        <f>#N/A</f>
        <v>3789.649999999994</v>
      </c>
      <c r="Q39" s="222">
        <f>#N/A</f>
        <v>1.0370820484293226</v>
      </c>
      <c r="R39" s="221">
        <v>24172.4</v>
      </c>
      <c r="S39" s="221">
        <f>#N/A</f>
        <v>1032.3099999999977</v>
      </c>
      <c r="T39" s="222">
        <f>#N/A</f>
        <v>1.0427061441975145</v>
      </c>
      <c r="U39" s="206">
        <f>F39-лютий!F39</f>
        <v>8600</v>
      </c>
      <c r="V39" s="206">
        <f>G39-лютий!G39</f>
        <v>9345.289999999999</v>
      </c>
      <c r="W39" s="221">
        <f>#N/A</f>
        <v>745.289999999999</v>
      </c>
      <c r="X39" s="222">
        <f>#N/A</f>
        <v>108.66616279069767</v>
      </c>
      <c r="Y39" s="465">
        <f>#N/A</f>
        <v>0.005624095768191895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580.83</v>
      </c>
      <c r="G40" s="206">
        <v>266.12</v>
      </c>
      <c r="H40" s="218">
        <f>#N/A</f>
        <v>-314.71000000000004</v>
      </c>
      <c r="I40" s="220">
        <f>#N/A</f>
        <v>0.45817192638121307</v>
      </c>
      <c r="J40" s="221">
        <f>#N/A</f>
        <v>-3133.88</v>
      </c>
      <c r="K40" s="222">
        <f>#N/A</f>
        <v>0.07827058823529412</v>
      </c>
      <c r="L40" s="176"/>
      <c r="M40" s="176"/>
      <c r="N40" s="176"/>
      <c r="O40" s="221">
        <v>3362.44</v>
      </c>
      <c r="P40" s="221">
        <f>#N/A</f>
        <v>37.559999999999945</v>
      </c>
      <c r="Q40" s="222">
        <f>#N/A</f>
        <v>1.0111704595472335</v>
      </c>
      <c r="R40" s="221">
        <v>297.3</v>
      </c>
      <c r="S40" s="221">
        <f>#N/A</f>
        <v>-31.180000000000007</v>
      </c>
      <c r="T40" s="222">
        <f>#N/A</f>
        <v>0.8951227716111672</v>
      </c>
      <c r="U40" s="206">
        <f>F40-лютий!F40</f>
        <v>239.00000000000006</v>
      </c>
      <c r="V40" s="206">
        <f>G40-лютий!G40</f>
        <v>100.91</v>
      </c>
      <c r="W40" s="221">
        <f>#N/A</f>
        <v>-138.09000000000006</v>
      </c>
      <c r="X40" s="222">
        <f>#N/A</f>
        <v>42.22175732217572</v>
      </c>
      <c r="Y40" s="465">
        <f>#N/A</f>
        <v>-0.11604768793606635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4592.8</v>
      </c>
      <c r="G41" s="206">
        <v>4925.8</v>
      </c>
      <c r="H41" s="218">
        <f>#N/A</f>
        <v>333</v>
      </c>
      <c r="I41" s="220">
        <f>#N/A</f>
        <v>1.0725047901062532</v>
      </c>
      <c r="J41" s="221">
        <f>#N/A</f>
        <v>-16174.2</v>
      </c>
      <c r="K41" s="222">
        <f>#N/A</f>
        <v>0.23345023696682465</v>
      </c>
      <c r="L41" s="176"/>
      <c r="M41" s="176"/>
      <c r="N41" s="176"/>
      <c r="O41" s="221">
        <v>20366.58</v>
      </c>
      <c r="P41" s="221">
        <f>#N/A</f>
        <v>733.4199999999983</v>
      </c>
      <c r="Q41" s="222">
        <f>#N/A</f>
        <v>1.0360109552021006</v>
      </c>
      <c r="R41" s="221">
        <v>4710.33</v>
      </c>
      <c r="S41" s="221">
        <f>#N/A</f>
        <v>215.47000000000025</v>
      </c>
      <c r="T41" s="222">
        <f>#N/A</f>
        <v>1.0457441410686725</v>
      </c>
      <c r="U41" s="206">
        <f>F41-лютий!F41</f>
        <v>1500</v>
      </c>
      <c r="V41" s="206">
        <f>G41-лютий!G41</f>
        <v>1815.5600000000004</v>
      </c>
      <c r="W41" s="221">
        <f>#N/A</f>
        <v>315.5600000000004</v>
      </c>
      <c r="X41" s="222">
        <f>#N/A</f>
        <v>121.03733333333335</v>
      </c>
      <c r="Y41" s="465">
        <f>#N/A</f>
        <v>0.009733185866571903</v>
      </c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f>E42</f>
        <v>0</v>
      </c>
      <c r="G42" s="139">
        <v>0</v>
      </c>
      <c r="H42" s="102">
        <f>#N/A</f>
        <v>0</v>
      </c>
      <c r="I42" s="208"/>
      <c r="J42" s="108">
        <f>#N/A</f>
        <v>0</v>
      </c>
      <c r="K42" s="108"/>
      <c r="L42" s="108"/>
      <c r="M42" s="108"/>
      <c r="N42" s="108"/>
      <c r="O42" s="108">
        <v>0.2</v>
      </c>
      <c r="P42" s="108">
        <f>#N/A</f>
        <v>-0.2</v>
      </c>
      <c r="Q42" s="148">
        <f>#N/A</f>
        <v>0</v>
      </c>
      <c r="R42" s="117">
        <v>0.2</v>
      </c>
      <c r="S42" s="108">
        <f>#N/A</f>
        <v>-0.2</v>
      </c>
      <c r="T42" s="148"/>
      <c r="U42" s="107">
        <f>F42-лютий!F42</f>
        <v>0</v>
      </c>
      <c r="V42" s="110">
        <f>G42-лютий!G42</f>
        <v>0</v>
      </c>
      <c r="W42" s="111">
        <f>#N/A</f>
        <v>0</v>
      </c>
      <c r="X42" s="148"/>
      <c r="Y42" s="197">
        <f>#N/A</f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33.43</v>
      </c>
      <c r="G43" s="106">
        <v>47.23</v>
      </c>
      <c r="H43" s="102">
        <f>#N/A</f>
        <v>13.799999999999997</v>
      </c>
      <c r="I43" s="208">
        <f>G43/F43</f>
        <v>1.4128028716721506</v>
      </c>
      <c r="J43" s="108">
        <f>#N/A</f>
        <v>-127.17000000000002</v>
      </c>
      <c r="K43" s="148">
        <f>G43/E43</f>
        <v>0.2708142201834862</v>
      </c>
      <c r="L43" s="108"/>
      <c r="M43" s="108"/>
      <c r="N43" s="108"/>
      <c r="O43" s="108">
        <v>156.82</v>
      </c>
      <c r="P43" s="108">
        <f>#N/A</f>
        <v>17.580000000000013</v>
      </c>
      <c r="Q43" s="148">
        <f>#N/A</f>
        <v>1.112103048080602</v>
      </c>
      <c r="R43" s="117">
        <v>37.2</v>
      </c>
      <c r="S43" s="108">
        <f>#N/A</f>
        <v>10.029999999999994</v>
      </c>
      <c r="T43" s="148">
        <f>#N/A</f>
        <v>1.2696236559139784</v>
      </c>
      <c r="U43" s="107">
        <f>F43-лютий!F43</f>
        <v>1</v>
      </c>
      <c r="V43" s="110">
        <f>G43-лютий!G43</f>
        <v>5.099999999999994</v>
      </c>
      <c r="W43" s="111">
        <f>#N/A</f>
        <v>4.099999999999994</v>
      </c>
      <c r="X43" s="148">
        <f>V43/U43</f>
        <v>5.099999999999994</v>
      </c>
      <c r="Y43" s="466">
        <f>#N/A</f>
        <v>0.1575206078333764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25.9</v>
      </c>
      <c r="G44" s="94">
        <v>38.9</v>
      </c>
      <c r="H44" s="71">
        <f>#N/A</f>
        <v>13</v>
      </c>
      <c r="I44" s="209">
        <f>G44/F44</f>
        <v>1.501930501930502</v>
      </c>
      <c r="J44" s="72">
        <f>#N/A</f>
        <v>-62.00000000000001</v>
      </c>
      <c r="K44" s="75">
        <f>G44/E44</f>
        <v>0.3855302279484638</v>
      </c>
      <c r="L44" s="72"/>
      <c r="M44" s="72"/>
      <c r="N44" s="72"/>
      <c r="O44" s="72">
        <v>95.14</v>
      </c>
      <c r="P44" s="72">
        <f>#N/A</f>
        <v>5.760000000000005</v>
      </c>
      <c r="Q44" s="75">
        <f>#N/A</f>
        <v>1.0605423586293883</v>
      </c>
      <c r="R44" s="72">
        <v>22.86</v>
      </c>
      <c r="S44" s="72">
        <f>#N/A</f>
        <v>16.04</v>
      </c>
      <c r="T44" s="75">
        <f>#N/A</f>
        <v>1.7016622922134732</v>
      </c>
      <c r="U44" s="73">
        <f>F44-лютий!F44</f>
        <v>1</v>
      </c>
      <c r="V44" s="98">
        <f>G44-лютий!G44</f>
        <v>5.100000000000001</v>
      </c>
      <c r="W44" s="74">
        <f>#N/A</f>
        <v>4.100000000000001</v>
      </c>
      <c r="X44" s="75">
        <f>V44/U44</f>
        <v>5.100000000000001</v>
      </c>
      <c r="Y44" s="465">
        <f>#N/A</f>
        <v>0.6411199335840849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7.53</v>
      </c>
      <c r="G45" s="94">
        <v>8.33</v>
      </c>
      <c r="H45" s="71">
        <f>#N/A</f>
        <v>0.7999999999999998</v>
      </c>
      <c r="I45" s="209">
        <f>G45/F45</f>
        <v>1.1062416998671978</v>
      </c>
      <c r="J45" s="72">
        <f>#N/A</f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>#N/A</f>
        <v>11.82</v>
      </c>
      <c r="Q45" s="75">
        <f>#N/A</f>
        <v>1.1916342412451362</v>
      </c>
      <c r="R45" s="72">
        <v>14.34</v>
      </c>
      <c r="S45" s="72">
        <f>#N/A</f>
        <v>-6.01</v>
      </c>
      <c r="T45" s="75">
        <f>#N/A</f>
        <v>0.5808926080892608</v>
      </c>
      <c r="U45" s="73">
        <f>F45-лютий!F45</f>
        <v>0</v>
      </c>
      <c r="V45" s="98">
        <f>G45-лютий!G45</f>
        <v>0</v>
      </c>
      <c r="W45" s="74">
        <f>#N/A</f>
        <v>0</v>
      </c>
      <c r="X45" s="75" t="e">
        <f>V45/U45</f>
        <v>#DIV/0!</v>
      </c>
      <c r="Y45" s="465">
        <f>#N/A</f>
        <v>-0.6107416331558754</v>
      </c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-1.76</v>
      </c>
      <c r="H46" s="102">
        <f>#N/A</f>
        <v>-1.76</v>
      </c>
      <c r="I46" s="208"/>
      <c r="J46" s="108">
        <f>#N/A</f>
        <v>-1.76</v>
      </c>
      <c r="K46" s="148"/>
      <c r="L46" s="108"/>
      <c r="M46" s="108"/>
      <c r="N46" s="108"/>
      <c r="O46" s="108">
        <v>-50.78</v>
      </c>
      <c r="P46" s="108">
        <f>#N/A</f>
        <v>50.78</v>
      </c>
      <c r="Q46" s="148">
        <f>#N/A</f>
        <v>0</v>
      </c>
      <c r="R46" s="108">
        <v>-24.87</v>
      </c>
      <c r="S46" s="108">
        <f>#N/A</f>
        <v>23.11</v>
      </c>
      <c r="T46" s="148">
        <f>#N/A</f>
        <v>0.07076799356654603</v>
      </c>
      <c r="U46" s="107">
        <f>F46-лютий!F46</f>
        <v>0</v>
      </c>
      <c r="V46" s="110">
        <f>G46-лютий!G46</f>
        <v>0.5799999999999998</v>
      </c>
      <c r="W46" s="111">
        <f>#N/A</f>
        <v>0.5799999999999998</v>
      </c>
      <c r="X46" s="148"/>
      <c r="Y46" s="197">
        <f>#N/A</f>
        <v>0.07076799356654603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254550.8</v>
      </c>
      <c r="F47" s="112">
        <f>F48+F49+F50+F51</f>
        <v>68649.16</v>
      </c>
      <c r="G47" s="113">
        <v>69072.65</v>
      </c>
      <c r="H47" s="102">
        <f>#N/A</f>
        <v>423.4899999999907</v>
      </c>
      <c r="I47" s="208">
        <f>G47/F47</f>
        <v>1.0061689028678573</v>
      </c>
      <c r="J47" s="108">
        <f>#N/A</f>
        <v>-185478.15</v>
      </c>
      <c r="K47" s="148">
        <f>G47/E47</f>
        <v>0.2713511409117551</v>
      </c>
      <c r="L47" s="108"/>
      <c r="M47" s="108"/>
      <c r="N47" s="108"/>
      <c r="O47" s="108">
        <v>223368.23</v>
      </c>
      <c r="P47" s="108">
        <f>#N/A</f>
        <v>31182.569999999978</v>
      </c>
      <c r="Q47" s="148">
        <f>#N/A</f>
        <v>1.139601634484904</v>
      </c>
      <c r="R47" s="123">
        <v>55396.62</v>
      </c>
      <c r="S47" s="123">
        <f>#N/A</f>
        <v>13676.029999999992</v>
      </c>
      <c r="T47" s="160">
        <f>#N/A</f>
        <v>1.246874809329522</v>
      </c>
      <c r="U47" s="107">
        <f>F47-лютий!F47</f>
        <v>8801</v>
      </c>
      <c r="V47" s="110">
        <f>G47-лютий!G47</f>
        <v>9049.749999999993</v>
      </c>
      <c r="W47" s="111">
        <f>#N/A</f>
        <v>248.74999999999272</v>
      </c>
      <c r="X47" s="148">
        <f>V47/U47</f>
        <v>1.0282638336552656</v>
      </c>
      <c r="Y47" s="197">
        <f>#N/A</f>
        <v>0.10727317484461807</v>
      </c>
    </row>
    <row r="48" spans="1:25" s="6" customFormat="1" ht="15" customHeight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>#N/A</f>
        <v>0.01</v>
      </c>
      <c r="K48" s="75"/>
      <c r="L48" s="72"/>
      <c r="M48" s="72"/>
      <c r="N48" s="72"/>
      <c r="O48" s="72">
        <v>0.01</v>
      </c>
      <c r="P48" s="72">
        <f>#N/A</f>
        <v>-0.01</v>
      </c>
      <c r="Q48" s="75">
        <f>#N/A</f>
        <v>0</v>
      </c>
      <c r="R48" s="85">
        <f>O48</f>
        <v>0.01</v>
      </c>
      <c r="S48" s="85">
        <f>#N/A</f>
        <v>0</v>
      </c>
      <c r="T48" s="153">
        <f>#N/A</f>
        <v>1</v>
      </c>
      <c r="U48" s="73">
        <f>F48-лютий!F48</f>
        <v>0</v>
      </c>
      <c r="V48" s="98">
        <f>G48-лютий!G48</f>
        <v>0</v>
      </c>
      <c r="W48" s="74">
        <f>#N/A</f>
        <v>0</v>
      </c>
      <c r="X48" s="75"/>
      <c r="Y48" s="197">
        <f>#N/A</f>
        <v>1</v>
      </c>
    </row>
    <row r="49" spans="1:25" s="6" customFormat="1" ht="15" customHeight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14983.87</v>
      </c>
      <c r="G49" s="94">
        <v>14506.24</v>
      </c>
      <c r="H49" s="71">
        <f>G49-F49</f>
        <v>-477.630000000001</v>
      </c>
      <c r="I49" s="209">
        <f>G49/F49</f>
        <v>0.9681237223761284</v>
      </c>
      <c r="J49" s="72">
        <f>#N/A</f>
        <v>-41208.76</v>
      </c>
      <c r="K49" s="75">
        <f>G49/E49</f>
        <v>0.26036507224266353</v>
      </c>
      <c r="L49" s="72"/>
      <c r="M49" s="72"/>
      <c r="N49" s="72"/>
      <c r="O49" s="72">
        <v>45030.34</v>
      </c>
      <c r="P49" s="72">
        <f>#N/A</f>
        <v>10684.660000000003</v>
      </c>
      <c r="Q49" s="75">
        <f>#N/A</f>
        <v>1.2372769115223203</v>
      </c>
      <c r="R49" s="85">
        <v>10947.92</v>
      </c>
      <c r="S49" s="85">
        <f>#N/A</f>
        <v>3558.3199999999997</v>
      </c>
      <c r="T49" s="153">
        <f>#N/A</f>
        <v>1.3250224700217028</v>
      </c>
      <c r="U49" s="73">
        <f>F49-лютий!F49</f>
        <v>1400</v>
      </c>
      <c r="V49" s="98">
        <f>G49-лютий!G49</f>
        <v>912.6100000000006</v>
      </c>
      <c r="W49" s="74">
        <f>#N/A</f>
        <v>-487.3899999999994</v>
      </c>
      <c r="X49" s="75">
        <f>V49/U49</f>
        <v>0.6518642857142861</v>
      </c>
      <c r="Y49" s="197">
        <f>#N/A</f>
        <v>0.08774555849938248</v>
      </c>
    </row>
    <row r="50" spans="1:25" s="6" customFormat="1" ht="15" customHeight="1">
      <c r="A50" s="8"/>
      <c r="B50" s="41" t="s">
        <v>79</v>
      </c>
      <c r="C50" s="70">
        <v>18050400</v>
      </c>
      <c r="D50" s="230">
        <v>198755</v>
      </c>
      <c r="E50" s="71">
        <v>198755</v>
      </c>
      <c r="F50" s="71">
        <v>53640.49</v>
      </c>
      <c r="G50" s="94">
        <v>54544.1</v>
      </c>
      <c r="H50" s="71">
        <f>G50-F50</f>
        <v>903.6100000000006</v>
      </c>
      <c r="I50" s="209">
        <f>G50/F50</f>
        <v>1.0168456701271744</v>
      </c>
      <c r="J50" s="72">
        <f>#N/A</f>
        <v>-144210.9</v>
      </c>
      <c r="K50" s="75">
        <f>G50/E50</f>
        <v>0.2744288194007698</v>
      </c>
      <c r="L50" s="72"/>
      <c r="M50" s="72"/>
      <c r="N50" s="72"/>
      <c r="O50" s="72">
        <v>178270.24</v>
      </c>
      <c r="P50" s="72">
        <f>#N/A</f>
        <v>20484.76000000001</v>
      </c>
      <c r="Q50" s="75">
        <f>#N/A</f>
        <v>1.11490846705541</v>
      </c>
      <c r="R50" s="85">
        <v>44432.58</v>
      </c>
      <c r="S50" s="85">
        <f>#N/A</f>
        <v>10111.519999999997</v>
      </c>
      <c r="T50" s="153">
        <f>#N/A</f>
        <v>1.2275699497980985</v>
      </c>
      <c r="U50" s="73">
        <f>F50-лютий!F50</f>
        <v>7400</v>
      </c>
      <c r="V50" s="98">
        <f>G50-лютий!G50</f>
        <v>8136.659999999996</v>
      </c>
      <c r="W50" s="74">
        <f>#N/A</f>
        <v>736.6599999999962</v>
      </c>
      <c r="X50" s="75">
        <f>V50/U50</f>
        <v>1.099548648648648</v>
      </c>
      <c r="Y50" s="197">
        <f>#N/A</f>
        <v>0.11266148274268861</v>
      </c>
    </row>
    <row r="51" spans="1:25" s="6" customFormat="1" ht="15" customHeight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24.8</v>
      </c>
      <c r="G51" s="94">
        <v>22.31</v>
      </c>
      <c r="H51" s="71">
        <f>G51-F51</f>
        <v>-2.490000000000002</v>
      </c>
      <c r="I51" s="209">
        <f>G51/F51</f>
        <v>0.8995967741935483</v>
      </c>
      <c r="J51" s="72">
        <f>#N/A</f>
        <v>-58.489999999999995</v>
      </c>
      <c r="K51" s="75">
        <f>G51/E51</f>
        <v>0.2761138613861386</v>
      </c>
      <c r="L51" s="72"/>
      <c r="M51" s="72"/>
      <c r="N51" s="72"/>
      <c r="O51" s="72">
        <v>67.63</v>
      </c>
      <c r="P51" s="72">
        <f>#N/A</f>
        <v>13.170000000000002</v>
      </c>
      <c r="Q51" s="75">
        <f>#N/A</f>
        <v>1.1947360638769777</v>
      </c>
      <c r="R51" s="85">
        <v>16.11</v>
      </c>
      <c r="S51" s="85">
        <f>#N/A</f>
        <v>6.199999999999999</v>
      </c>
      <c r="T51" s="153">
        <f>#N/A</f>
        <v>1.3848541278708877</v>
      </c>
      <c r="U51" s="73">
        <f>F51-лютий!F51</f>
        <v>1</v>
      </c>
      <c r="V51" s="98">
        <f>G51-лютий!G51</f>
        <v>0.46999999999999886</v>
      </c>
      <c r="W51" s="74">
        <f>#N/A</f>
        <v>-0.5300000000000011</v>
      </c>
      <c r="X51" s="75"/>
      <c r="Y51" s="197">
        <f>#N/A</f>
        <v>0.19011806399390996</v>
      </c>
    </row>
    <row r="52" spans="1:25" s="6" customFormat="1" ht="15" customHeight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>#N/A</f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>#N/A</f>
        <v>0</v>
      </c>
      <c r="T52" s="154"/>
      <c r="U52" s="73">
        <f>F52-лютий!F52</f>
        <v>0</v>
      </c>
      <c r="V52" s="98">
        <f>G52-лютий!G52</f>
        <v>0</v>
      </c>
      <c r="W52" s="111">
        <f>#N/A</f>
        <v>0</v>
      </c>
      <c r="X52" s="67"/>
      <c r="Y52" s="197">
        <f>#N/A</f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10643.047999999999</v>
      </c>
      <c r="G53" s="103">
        <f>G54+G55+G56+G57+G58+G60+G62+G63+G64+G65+G66+G71+G72+G76+G59+G61</f>
        <v>11497.49</v>
      </c>
      <c r="H53" s="103">
        <f>H54+H55+H56+H57+H58+H60+H62+H63+H64+H65+H66+H71+H72+H76+H59+H61</f>
        <v>854.4419999999994</v>
      </c>
      <c r="I53" s="143">
        <f>#N/A</f>
        <v>1.0802817012570085</v>
      </c>
      <c r="J53" s="104">
        <f>G53-E53</f>
        <v>-35751.41</v>
      </c>
      <c r="K53" s="156">
        <f>#N/A</f>
        <v>0.24333878672307713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13874.23</v>
      </c>
      <c r="S53" s="103">
        <f>#N/A</f>
        <v>-2376.74</v>
      </c>
      <c r="T53" s="143">
        <f>G53/R53</f>
        <v>0.8286939167074497</v>
      </c>
      <c r="U53" s="103">
        <f>U54+U55+U56+U57+U58+U60+U62+U63+U64+U65+U66+U71+U72+U76+U59+U61</f>
        <v>3607.5</v>
      </c>
      <c r="V53" s="103">
        <f>V54+V55+V56+V57+V58+V60+V62+V63+V64+V65+V66+V71+V72+V76+V59+V61</f>
        <v>4551.8099999999995</v>
      </c>
      <c r="W53" s="103">
        <f>W54+W55+W56+W57+W58+W60+W62+W63+W64+W65+W66+W71+W72+W76</f>
        <v>934.1099999999994</v>
      </c>
      <c r="X53" s="143">
        <f>V53/U53</f>
        <v>1.2617629937629937</v>
      </c>
      <c r="Y53" s="197">
        <f>#N/A</f>
        <v>0.14768739301752776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v>6.11</v>
      </c>
      <c r="G54" s="106">
        <v>58.91</v>
      </c>
      <c r="H54" s="102">
        <f>#N/A</f>
        <v>52.8</v>
      </c>
      <c r="I54" s="213">
        <f>#N/A</f>
        <v>9.641571194762683</v>
      </c>
      <c r="J54" s="115">
        <f>G54-E54</f>
        <v>-2591.09</v>
      </c>
      <c r="K54" s="155">
        <f>#N/A</f>
        <v>0.022230188679245283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-186.82</v>
      </c>
      <c r="S54" s="115">
        <f>#N/A</f>
        <v>245.73</v>
      </c>
      <c r="T54" s="155">
        <f>G54/R54</f>
        <v>-0.3153302644256504</v>
      </c>
      <c r="U54" s="107">
        <f>F54-лютий!F54</f>
        <v>0</v>
      </c>
      <c r="V54" s="110">
        <f>G54-лютий!G54</f>
        <v>3.4199999999999946</v>
      </c>
      <c r="W54" s="111">
        <f>#N/A</f>
        <v>3.4199999999999946</v>
      </c>
      <c r="X54" s="155" t="e">
        <f>V54/U54</f>
        <v>#DIV/0!</v>
      </c>
      <c r="Y54" s="197">
        <f>#N/A</f>
        <v>-1.3214199544740945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v>5000</v>
      </c>
      <c r="F55" s="102">
        <v>580.078</v>
      </c>
      <c r="G55" s="106">
        <v>1099.77</v>
      </c>
      <c r="H55" s="102">
        <f>#N/A</f>
        <v>519.692</v>
      </c>
      <c r="I55" s="213">
        <f>#N/A</f>
        <v>1.8959002065239503</v>
      </c>
      <c r="J55" s="115">
        <f>#N/A</f>
        <v>-3900.23</v>
      </c>
      <c r="K55" s="155">
        <f>#N/A</f>
        <v>0.21995399999999998</v>
      </c>
      <c r="L55" s="115"/>
      <c r="M55" s="115"/>
      <c r="N55" s="115"/>
      <c r="O55" s="115">
        <v>27997.6</v>
      </c>
      <c r="P55" s="115">
        <f>#N/A</f>
        <v>-22997.6</v>
      </c>
      <c r="Q55" s="155">
        <f>#N/A</f>
        <v>0.17858673600594338</v>
      </c>
      <c r="R55" s="115">
        <v>4701.84</v>
      </c>
      <c r="S55" s="115">
        <f>#N/A</f>
        <v>-3602.07</v>
      </c>
      <c r="T55" s="155">
        <f>#N/A</f>
        <v>0.23390204685825122</v>
      </c>
      <c r="U55" s="107">
        <f>F55-лютий!F55</f>
        <v>300</v>
      </c>
      <c r="V55" s="110">
        <f>G55-лютий!G55</f>
        <v>819.69</v>
      </c>
      <c r="W55" s="111">
        <f>#N/A</f>
        <v>519.69</v>
      </c>
      <c r="X55" s="155">
        <f>#N/A</f>
        <v>2.7323000000000004</v>
      </c>
      <c r="Y55" s="197">
        <f>#N/A</f>
        <v>0.05531531085230784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28</v>
      </c>
      <c r="G56" s="106">
        <v>51.82</v>
      </c>
      <c r="H56" s="102">
        <f>#N/A</f>
        <v>23.82</v>
      </c>
      <c r="I56" s="213">
        <f>#N/A</f>
        <v>1.8507142857142858</v>
      </c>
      <c r="J56" s="115">
        <f>#N/A</f>
        <v>-106.18</v>
      </c>
      <c r="K56" s="155">
        <f>#N/A</f>
        <v>0.3279746835443038</v>
      </c>
      <c r="L56" s="115"/>
      <c r="M56" s="115"/>
      <c r="N56" s="115"/>
      <c r="O56" s="115">
        <v>153.3</v>
      </c>
      <c r="P56" s="115">
        <f>#N/A</f>
        <v>4.699999999999989</v>
      </c>
      <c r="Q56" s="155">
        <f>#N/A</f>
        <v>1.030658838878017</v>
      </c>
      <c r="R56" s="115">
        <v>72.08</v>
      </c>
      <c r="S56" s="115">
        <f>#N/A</f>
        <v>-20.259999999999998</v>
      </c>
      <c r="T56" s="155">
        <f>#N/A</f>
        <v>0.7189234184239733</v>
      </c>
      <c r="U56" s="107">
        <f>F56-лютий!F56</f>
        <v>14</v>
      </c>
      <c r="V56" s="110">
        <f>G56-лютий!G56</f>
        <v>38.59</v>
      </c>
      <c r="W56" s="111">
        <f>#N/A</f>
        <v>24.590000000000003</v>
      </c>
      <c r="X56" s="155">
        <f>#N/A</f>
        <v>2.7564285714285717</v>
      </c>
      <c r="Y56" s="197">
        <f>#N/A</f>
        <v>-0.31173542045404357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4</v>
      </c>
      <c r="G57" s="106">
        <v>2.02</v>
      </c>
      <c r="H57" s="102">
        <f>#N/A</f>
        <v>-1.98</v>
      </c>
      <c r="I57" s="213">
        <f>#N/A</f>
        <v>0.505</v>
      </c>
      <c r="J57" s="115">
        <f>#N/A</f>
        <v>-10.98</v>
      </c>
      <c r="K57" s="155">
        <f>#N/A</f>
        <v>0.1553846153846154</v>
      </c>
      <c r="L57" s="115"/>
      <c r="M57" s="115"/>
      <c r="N57" s="115"/>
      <c r="O57" s="115">
        <v>12.95</v>
      </c>
      <c r="P57" s="115">
        <f>#N/A</f>
        <v>0.05000000000000071</v>
      </c>
      <c r="Q57" s="225">
        <f>#N/A</f>
        <v>1.0038610038610039</v>
      </c>
      <c r="R57" s="115">
        <v>2.03</v>
      </c>
      <c r="S57" s="115">
        <f>#N/A</f>
        <v>-0.009999999999999787</v>
      </c>
      <c r="T57" s="155"/>
      <c r="U57" s="107">
        <f>F57-лютий!F57</f>
        <v>1</v>
      </c>
      <c r="V57" s="110">
        <f>G57-лютий!G57</f>
        <v>0</v>
      </c>
      <c r="W57" s="111">
        <f>#N/A</f>
        <v>-1</v>
      </c>
      <c r="X57" s="155">
        <f>#N/A</f>
        <v>0</v>
      </c>
      <c r="Y57" s="197">
        <f>#N/A</f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148.43</v>
      </c>
      <c r="G58" s="106">
        <v>224.59</v>
      </c>
      <c r="H58" s="102">
        <f>#N/A</f>
        <v>76.16</v>
      </c>
      <c r="I58" s="213">
        <f>#N/A</f>
        <v>1.5131038199824833</v>
      </c>
      <c r="J58" s="115">
        <f>#N/A</f>
        <v>-519.41</v>
      </c>
      <c r="K58" s="155">
        <f>#N/A</f>
        <v>0.3018682795698925</v>
      </c>
      <c r="L58" s="115"/>
      <c r="M58" s="115"/>
      <c r="N58" s="115"/>
      <c r="O58" s="115">
        <v>705.31</v>
      </c>
      <c r="P58" s="115">
        <f>#N/A</f>
        <v>38.690000000000055</v>
      </c>
      <c r="Q58" s="155">
        <f>#N/A</f>
        <v>1.0548553118486907</v>
      </c>
      <c r="R58" s="115">
        <v>277.76</v>
      </c>
      <c r="S58" s="115">
        <f>#N/A</f>
        <v>-53.16999999999999</v>
      </c>
      <c r="T58" s="155">
        <f>#N/A</f>
        <v>0.8085757488479263</v>
      </c>
      <c r="U58" s="107">
        <f>F58-лютий!F58</f>
        <v>60</v>
      </c>
      <c r="V58" s="110">
        <f>G58-лютий!G58</f>
        <v>172.41</v>
      </c>
      <c r="W58" s="111">
        <f>#N/A</f>
        <v>112.41</v>
      </c>
      <c r="X58" s="155">
        <f>#N/A</f>
        <v>2.8735</v>
      </c>
      <c r="Y58" s="197">
        <f>#N/A</f>
        <v>-0.24627956300076448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20</v>
      </c>
      <c r="G59" s="106">
        <v>8.62</v>
      </c>
      <c r="H59" s="102">
        <f>#N/A</f>
        <v>-11.38</v>
      </c>
      <c r="I59" s="213">
        <f>#N/A</f>
        <v>0.43099999999999994</v>
      </c>
      <c r="J59" s="115">
        <f>#N/A</f>
        <v>-106.88</v>
      </c>
      <c r="K59" s="155">
        <f>#N/A</f>
        <v>0.07463203463203462</v>
      </c>
      <c r="L59" s="115"/>
      <c r="M59" s="115"/>
      <c r="N59" s="115"/>
      <c r="O59" s="115">
        <v>114.3</v>
      </c>
      <c r="P59" s="115">
        <f>#N/A</f>
        <v>1.2000000000000028</v>
      </c>
      <c r="Q59" s="155">
        <f>#N/A</f>
        <v>1.010498687664042</v>
      </c>
      <c r="R59" s="115">
        <v>0.51</v>
      </c>
      <c r="S59" s="115">
        <f>#N/A</f>
        <v>8.11</v>
      </c>
      <c r="T59" s="155">
        <f>#N/A</f>
        <v>16.901960784313722</v>
      </c>
      <c r="U59" s="107">
        <f>F59-лютий!F59</f>
        <v>10</v>
      </c>
      <c r="V59" s="110">
        <f>G59-лютий!G59</f>
        <v>20.2</v>
      </c>
      <c r="W59" s="111">
        <f>#N/A</f>
        <v>10.2</v>
      </c>
      <c r="X59" s="155">
        <f>#N/A</f>
        <v>2.02</v>
      </c>
      <c r="Y59" s="197">
        <f>#N/A</f>
        <v>15.891462096649681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284</v>
      </c>
      <c r="G60" s="106">
        <v>280.33</v>
      </c>
      <c r="H60" s="102">
        <f>#N/A</f>
        <v>-3.670000000000016</v>
      </c>
      <c r="I60" s="213">
        <f>#N/A</f>
        <v>0.9870774647887324</v>
      </c>
      <c r="J60" s="115">
        <f>#N/A</f>
        <v>-1003.6700000000001</v>
      </c>
      <c r="K60" s="155">
        <f>#N/A</f>
        <v>0.21832554517133956</v>
      </c>
      <c r="L60" s="115"/>
      <c r="M60" s="115"/>
      <c r="N60" s="115"/>
      <c r="O60" s="115">
        <v>1205.14</v>
      </c>
      <c r="P60" s="115">
        <f>#N/A</f>
        <v>78.8599999999999</v>
      </c>
      <c r="Q60" s="155">
        <f>#N/A</f>
        <v>1.0654363808354215</v>
      </c>
      <c r="R60" s="115">
        <v>300.95</v>
      </c>
      <c r="S60" s="115">
        <f>#N/A</f>
        <v>-20.620000000000005</v>
      </c>
      <c r="T60" s="155">
        <f>#N/A</f>
        <v>0.9314836351553414</v>
      </c>
      <c r="U60" s="107">
        <f>F60-лютий!F60</f>
        <v>100</v>
      </c>
      <c r="V60" s="110">
        <f>G60-лютий!G60</f>
        <v>103.13999999999999</v>
      </c>
      <c r="W60" s="111">
        <f>#N/A</f>
        <v>3.1399999999999864</v>
      </c>
      <c r="X60" s="155">
        <f>#N/A</f>
        <v>1.0313999999999999</v>
      </c>
      <c r="Y60" s="197">
        <f>#N/A</f>
        <v>-0.1339527456800801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>#N/A</f>
        <v>0</v>
      </c>
      <c r="I61" s="213" t="e">
        <f>#N/A</f>
        <v>#DIV/0!</v>
      </c>
      <c r="J61" s="115">
        <f>#N/A</f>
        <v>0</v>
      </c>
      <c r="K61" s="155" t="e">
        <f>#N/A</f>
        <v>#DIV/0!</v>
      </c>
      <c r="L61" s="115"/>
      <c r="M61" s="115"/>
      <c r="N61" s="115"/>
      <c r="O61" s="115">
        <v>23.38</v>
      </c>
      <c r="P61" s="115">
        <f>#N/A</f>
        <v>-23.38</v>
      </c>
      <c r="Q61" s="155">
        <f>#N/A</f>
        <v>0</v>
      </c>
      <c r="R61" s="115">
        <v>0</v>
      </c>
      <c r="S61" s="115">
        <f>#N/A</f>
        <v>0</v>
      </c>
      <c r="T61" s="155"/>
      <c r="U61" s="107">
        <f>F61-лютий!F61</f>
        <v>0</v>
      </c>
      <c r="V61" s="110">
        <f>G61-лютий!G61</f>
        <v>0</v>
      </c>
      <c r="W61" s="111">
        <f>#N/A</f>
        <v>0</v>
      </c>
      <c r="X61" s="155" t="e">
        <f>#N/A</f>
        <v>#DIV/0!</v>
      </c>
      <c r="Y61" s="197">
        <f>#N/A</f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v>21260</v>
      </c>
      <c r="F62" s="102">
        <v>5690</v>
      </c>
      <c r="G62" s="106">
        <v>6201.94</v>
      </c>
      <c r="H62" s="102">
        <f>#N/A</f>
        <v>511.9399999999996</v>
      </c>
      <c r="I62" s="213">
        <f>#N/A</f>
        <v>1.0899718804920913</v>
      </c>
      <c r="J62" s="115">
        <f>#N/A</f>
        <v>-15058.060000000001</v>
      </c>
      <c r="K62" s="155">
        <f>#N/A</f>
        <v>0.2917187206020696</v>
      </c>
      <c r="L62" s="115"/>
      <c r="M62" s="115"/>
      <c r="N62" s="115"/>
      <c r="O62" s="115">
        <v>20110.14</v>
      </c>
      <c r="P62" s="115">
        <f>#N/A</f>
        <v>1149.8600000000006</v>
      </c>
      <c r="Q62" s="155">
        <f>#N/A</f>
        <v>1.0571781200926498</v>
      </c>
      <c r="R62" s="115">
        <v>3584.94</v>
      </c>
      <c r="S62" s="115">
        <f>#N/A</f>
        <v>2616.9999999999995</v>
      </c>
      <c r="T62" s="155">
        <f>#N/A</f>
        <v>1.729998270542882</v>
      </c>
      <c r="U62" s="107">
        <f>F62-лютий!F62</f>
        <v>1800</v>
      </c>
      <c r="V62" s="110">
        <f>G62-лютий!G62</f>
        <v>2246.5199999999995</v>
      </c>
      <c r="W62" s="111">
        <f>#N/A</f>
        <v>446.5199999999995</v>
      </c>
      <c r="X62" s="155">
        <f>#N/A</f>
        <v>1.2480666666666664</v>
      </c>
      <c r="Y62" s="197">
        <f>#N/A</f>
        <v>0.6728201504502322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185</v>
      </c>
      <c r="G63" s="106">
        <v>202.16</v>
      </c>
      <c r="H63" s="102">
        <f>#N/A</f>
        <v>17.159999999999997</v>
      </c>
      <c r="I63" s="213">
        <f>#N/A</f>
        <v>1.0927567567567567</v>
      </c>
      <c r="J63" s="115">
        <f>#N/A</f>
        <v>-564.84</v>
      </c>
      <c r="K63" s="155">
        <f>#N/A</f>
        <v>0.26357235984354627</v>
      </c>
      <c r="L63" s="115"/>
      <c r="M63" s="115"/>
      <c r="N63" s="115"/>
      <c r="O63" s="115">
        <v>710.04</v>
      </c>
      <c r="P63" s="115">
        <f>#N/A</f>
        <v>56.960000000000036</v>
      </c>
      <c r="Q63" s="155">
        <f>#N/A</f>
        <v>1.0802208326291478</v>
      </c>
      <c r="R63" s="115">
        <v>135.2</v>
      </c>
      <c r="S63" s="115">
        <f>#N/A</f>
        <v>66.96000000000001</v>
      </c>
      <c r="T63" s="155">
        <f>#N/A</f>
        <v>1.4952662721893493</v>
      </c>
      <c r="U63" s="107">
        <f>F63-лютий!F63</f>
        <v>64</v>
      </c>
      <c r="V63" s="110">
        <f>G63-лютий!G63</f>
        <v>80.47</v>
      </c>
      <c r="W63" s="111">
        <f>#N/A</f>
        <v>16.47</v>
      </c>
      <c r="X63" s="155">
        <f>#N/A</f>
        <v>1.25734375</v>
      </c>
      <c r="Y63" s="197">
        <f>#N/A</f>
        <v>0.41504543956020146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8</v>
      </c>
      <c r="G64" s="106">
        <v>7.76</v>
      </c>
      <c r="H64" s="102">
        <f>#N/A</f>
        <v>-0.2400000000000002</v>
      </c>
      <c r="I64" s="213">
        <f>#N/A</f>
        <v>0.97</v>
      </c>
      <c r="J64" s="115">
        <f>#N/A</f>
        <v>-36.24</v>
      </c>
      <c r="K64" s="155">
        <f>#N/A</f>
        <v>0.17636363636363636</v>
      </c>
      <c r="L64" s="115"/>
      <c r="M64" s="115"/>
      <c r="N64" s="115"/>
      <c r="O64" s="115">
        <v>41.44</v>
      </c>
      <c r="P64" s="115">
        <f>#N/A</f>
        <v>2.5600000000000023</v>
      </c>
      <c r="Q64" s="155">
        <f>#N/A</f>
        <v>1.0617760617760619</v>
      </c>
      <c r="R64" s="115">
        <v>4</v>
      </c>
      <c r="S64" s="115">
        <f>#N/A</f>
        <v>3.76</v>
      </c>
      <c r="T64" s="155">
        <f>#N/A</f>
        <v>1.94</v>
      </c>
      <c r="U64" s="107">
        <f>F64-лютий!F64</f>
        <v>4</v>
      </c>
      <c r="V64" s="110">
        <f>G64-лютий!G64</f>
        <v>1.0599999999999996</v>
      </c>
      <c r="W64" s="111">
        <f>#N/A</f>
        <v>-2.9400000000000004</v>
      </c>
      <c r="X64" s="155">
        <f>#N/A</f>
        <v>0.2649999999999999</v>
      </c>
      <c r="Y64" s="197">
        <f>#N/A</f>
        <v>0.8782239382239381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1564.14</v>
      </c>
      <c r="G65" s="106">
        <v>1700.57</v>
      </c>
      <c r="H65" s="102">
        <f>#N/A</f>
        <v>136.42999999999984</v>
      </c>
      <c r="I65" s="213">
        <f>#N/A</f>
        <v>1.0872236500569001</v>
      </c>
      <c r="J65" s="115">
        <f>#N/A</f>
        <v>-4299.43</v>
      </c>
      <c r="K65" s="155">
        <f>#N/A</f>
        <v>0.28342833333333334</v>
      </c>
      <c r="L65" s="115"/>
      <c r="M65" s="115"/>
      <c r="N65" s="115"/>
      <c r="O65" s="115">
        <v>6545.96</v>
      </c>
      <c r="P65" s="115">
        <f>#N/A</f>
        <v>-545.96</v>
      </c>
      <c r="Q65" s="155">
        <f>#N/A</f>
        <v>0.9165958850955398</v>
      </c>
      <c r="R65" s="115">
        <v>1625.09</v>
      </c>
      <c r="S65" s="115">
        <f>#N/A</f>
        <v>75.48000000000002</v>
      </c>
      <c r="T65" s="155">
        <f>#N/A</f>
        <v>1.0464466583389227</v>
      </c>
      <c r="U65" s="107">
        <f>F65-лютий!F65</f>
        <v>500</v>
      </c>
      <c r="V65" s="110">
        <f>G65-лютий!G65</f>
        <v>586.3399999999999</v>
      </c>
      <c r="W65" s="111">
        <f>#N/A</f>
        <v>86.33999999999992</v>
      </c>
      <c r="X65" s="155">
        <f>#N/A</f>
        <v>1.17268</v>
      </c>
      <c r="Y65" s="197">
        <f>#N/A</f>
        <v>0.1298507732433829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195.14</v>
      </c>
      <c r="G66" s="106">
        <v>160.3</v>
      </c>
      <c r="H66" s="102">
        <f>#N/A</f>
        <v>-34.839999999999975</v>
      </c>
      <c r="I66" s="213">
        <f>#N/A</f>
        <v>0.8214615148098802</v>
      </c>
      <c r="J66" s="115">
        <f>#N/A</f>
        <v>-705.7</v>
      </c>
      <c r="K66" s="155">
        <f>#N/A</f>
        <v>0.18510392609699772</v>
      </c>
      <c r="L66" s="115"/>
      <c r="M66" s="115"/>
      <c r="N66" s="115"/>
      <c r="O66" s="115">
        <v>896.22</v>
      </c>
      <c r="P66" s="115">
        <f>#N/A</f>
        <v>-30.220000000000027</v>
      </c>
      <c r="Q66" s="155">
        <f>#N/A</f>
        <v>0.9662806007453527</v>
      </c>
      <c r="R66" s="115">
        <v>246</v>
      </c>
      <c r="S66" s="115">
        <f>#N/A</f>
        <v>-85.69999999999999</v>
      </c>
      <c r="T66" s="155">
        <f>#N/A</f>
        <v>0.6516260162601627</v>
      </c>
      <c r="U66" s="107">
        <f>F66-лютий!F66</f>
        <v>74.49999999999999</v>
      </c>
      <c r="V66" s="110">
        <f>G66-лютий!G66</f>
        <v>53.420000000000016</v>
      </c>
      <c r="W66" s="111">
        <f>#N/A</f>
        <v>-21.07999999999997</v>
      </c>
      <c r="X66" s="155">
        <f>#N/A</f>
        <v>0.7170469798657721</v>
      </c>
      <c r="Y66" s="197">
        <f>#N/A</f>
        <v>-0.31465458448519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160.42</v>
      </c>
      <c r="G67" s="94">
        <v>124.46</v>
      </c>
      <c r="H67" s="71">
        <f>#N/A</f>
        <v>-35.959999999999994</v>
      </c>
      <c r="I67" s="209">
        <f>#N/A</f>
        <v>0.7758384241366414</v>
      </c>
      <c r="J67" s="72">
        <f>#N/A</f>
        <v>-603.74</v>
      </c>
      <c r="K67" s="75">
        <f>#N/A</f>
        <v>0.17091458390552045</v>
      </c>
      <c r="L67" s="72"/>
      <c r="M67" s="72"/>
      <c r="N67" s="72"/>
      <c r="O67" s="72">
        <v>760.62</v>
      </c>
      <c r="P67" s="72">
        <f>#N/A</f>
        <v>-32.41999999999996</v>
      </c>
      <c r="Q67" s="75">
        <f>#N/A</f>
        <v>0.957376876758434</v>
      </c>
      <c r="R67" s="72">
        <v>220.94</v>
      </c>
      <c r="S67" s="203">
        <f>#N/A</f>
        <v>-96.48</v>
      </c>
      <c r="T67" s="204">
        <f>#N/A</f>
        <v>0.5633203584683625</v>
      </c>
      <c r="U67" s="73">
        <f>F67-лютий!F67</f>
        <v>62.999999999999986</v>
      </c>
      <c r="V67" s="98">
        <f>G67-лютий!G67</f>
        <v>40.56999999999999</v>
      </c>
      <c r="W67" s="74">
        <f>#N/A</f>
        <v>-22.429999999999993</v>
      </c>
      <c r="X67" s="75">
        <f>#N/A</f>
        <v>0.643968253968254</v>
      </c>
      <c r="Y67" s="197">
        <f>#N/A</f>
        <v>-0.3940565182900715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0.1</v>
      </c>
      <c r="G68" s="94">
        <v>0.06</v>
      </c>
      <c r="H68" s="71">
        <f>#N/A</f>
        <v>-0.04000000000000001</v>
      </c>
      <c r="I68" s="209">
        <f>#N/A</f>
        <v>0.6</v>
      </c>
      <c r="J68" s="72">
        <f>#N/A</f>
        <v>-0.94</v>
      </c>
      <c r="K68" s="75">
        <f>#N/A</f>
        <v>0.06</v>
      </c>
      <c r="L68" s="72"/>
      <c r="M68" s="72"/>
      <c r="N68" s="72"/>
      <c r="O68" s="72">
        <v>0.18</v>
      </c>
      <c r="P68" s="72">
        <f>#N/A</f>
        <v>0.8200000000000001</v>
      </c>
      <c r="Q68" s="75">
        <f>#N/A</f>
        <v>5.555555555555555</v>
      </c>
      <c r="R68" s="72">
        <v>0.1</v>
      </c>
      <c r="S68" s="203">
        <f>#N/A</f>
        <v>-0.04000000000000001</v>
      </c>
      <c r="T68" s="204">
        <f>#N/A</f>
        <v>0.6</v>
      </c>
      <c r="U68" s="73">
        <f>F68-лютий!F68</f>
        <v>0.1</v>
      </c>
      <c r="V68" s="98">
        <f>G68-лютий!G68</f>
        <v>0.019999999999999997</v>
      </c>
      <c r="W68" s="74">
        <f>#N/A</f>
        <v>-0.08000000000000002</v>
      </c>
      <c r="X68" s="75"/>
      <c r="Y68" s="197">
        <f>#N/A</f>
        <v>-4.955555555555556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>#N/A</f>
        <v>0</v>
      </c>
      <c r="I69" s="209" t="e">
        <f>#N/A</f>
        <v>#DIV/0!</v>
      </c>
      <c r="J69" s="72">
        <f>#N/A</f>
        <v>0</v>
      </c>
      <c r="K69" s="75" t="e">
        <f>#N/A</f>
        <v>#DIV/0!</v>
      </c>
      <c r="L69" s="72"/>
      <c r="M69" s="72"/>
      <c r="N69" s="72"/>
      <c r="O69" s="72">
        <v>0</v>
      </c>
      <c r="P69" s="72">
        <f>#N/A</f>
        <v>0</v>
      </c>
      <c r="Q69" s="75" t="e">
        <f>#N/A</f>
        <v>#DIV/0!</v>
      </c>
      <c r="R69" s="72">
        <f>O69</f>
        <v>0</v>
      </c>
      <c r="S69" s="203">
        <f>#N/A</f>
        <v>0</v>
      </c>
      <c r="T69" s="204" t="e">
        <f>#N/A</f>
        <v>#DIV/0!</v>
      </c>
      <c r="U69" s="73">
        <f>F69-лютий!F69</f>
        <v>0</v>
      </c>
      <c r="V69" s="98">
        <f>G69-лютий!G69</f>
        <v>0</v>
      </c>
      <c r="W69" s="74">
        <f>#N/A</f>
        <v>0</v>
      </c>
      <c r="X69" s="75"/>
      <c r="Y69" s="197" t="e">
        <f>#N/A</f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34.62</v>
      </c>
      <c r="G70" s="94">
        <v>35.79</v>
      </c>
      <c r="H70" s="71">
        <f>#N/A</f>
        <v>1.1700000000000017</v>
      </c>
      <c r="I70" s="209">
        <f>#N/A</f>
        <v>1.0337954939341423</v>
      </c>
      <c r="J70" s="72">
        <f>#N/A</f>
        <v>-101.01000000000002</v>
      </c>
      <c r="K70" s="75">
        <f>#N/A</f>
        <v>0.2616228070175438</v>
      </c>
      <c r="L70" s="72"/>
      <c r="M70" s="72"/>
      <c r="N70" s="72"/>
      <c r="O70" s="72">
        <v>135.42</v>
      </c>
      <c r="P70" s="72">
        <f>#N/A</f>
        <v>1.3800000000000239</v>
      </c>
      <c r="Q70" s="75">
        <f>#N/A</f>
        <v>1.01019051838724</v>
      </c>
      <c r="R70" s="72">
        <v>24.96</v>
      </c>
      <c r="S70" s="203">
        <f>#N/A</f>
        <v>10.829999999999998</v>
      </c>
      <c r="T70" s="204">
        <f>#N/A</f>
        <v>1.4338942307692306</v>
      </c>
      <c r="U70" s="73">
        <f>F70-лютий!F70</f>
        <v>11.399999999999999</v>
      </c>
      <c r="V70" s="98">
        <f>G70-лютий!G70</f>
        <v>12.64</v>
      </c>
      <c r="W70" s="74">
        <f>#N/A</f>
        <v>1.240000000000002</v>
      </c>
      <c r="X70" s="75">
        <f>#N/A</f>
        <v>1.1087719298245615</v>
      </c>
      <c r="Y70" s="197">
        <f>#N/A</f>
        <v>0.42370371238199067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</v>
      </c>
      <c r="H71" s="102">
        <f>#N/A</f>
        <v>-1.5</v>
      </c>
      <c r="I71" s="213">
        <f>#N/A</f>
        <v>0</v>
      </c>
      <c r="J71" s="115">
        <f>#N/A</f>
        <v>-3</v>
      </c>
      <c r="K71" s="155">
        <f>#N/A</f>
        <v>0</v>
      </c>
      <c r="L71" s="115"/>
      <c r="M71" s="115"/>
      <c r="N71" s="115"/>
      <c r="O71" s="115">
        <v>2.04</v>
      </c>
      <c r="P71" s="115">
        <f>#N/A</f>
        <v>0.96</v>
      </c>
      <c r="Q71" s="155">
        <f>#N/A</f>
        <v>1.4705882352941175</v>
      </c>
      <c r="R71" s="115">
        <v>2.04</v>
      </c>
      <c r="S71" s="115">
        <f>#N/A</f>
        <v>-2.04</v>
      </c>
      <c r="T71" s="155">
        <f>#N/A</f>
        <v>0</v>
      </c>
      <c r="U71" s="107">
        <f>F71-лютий!F71</f>
        <v>0</v>
      </c>
      <c r="V71" s="110">
        <f>G71-лютий!G71</f>
        <v>0</v>
      </c>
      <c r="W71" s="111">
        <f>#N/A</f>
        <v>0</v>
      </c>
      <c r="X71" s="155"/>
      <c r="Y71" s="197">
        <f>#N/A</f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1928.65</v>
      </c>
      <c r="G72" s="106">
        <v>1498.7</v>
      </c>
      <c r="H72" s="102">
        <f>#N/A</f>
        <v>-429.95000000000005</v>
      </c>
      <c r="I72" s="213">
        <f>#N/A</f>
        <v>0.7770720452129728</v>
      </c>
      <c r="J72" s="115">
        <f>#N/A</f>
        <v>-6671.3</v>
      </c>
      <c r="K72" s="155">
        <f>#N/A</f>
        <v>0.18343941248470014</v>
      </c>
      <c r="L72" s="115"/>
      <c r="M72" s="115"/>
      <c r="N72" s="115"/>
      <c r="O72" s="115">
        <v>8086.92</v>
      </c>
      <c r="P72" s="115">
        <f>#N/A</f>
        <v>83.07999999999993</v>
      </c>
      <c r="Q72" s="155">
        <f>#N/A</f>
        <v>1.0102733797292418</v>
      </c>
      <c r="R72" s="115">
        <v>3075.73</v>
      </c>
      <c r="S72" s="115">
        <f>#N/A</f>
        <v>-1577.03</v>
      </c>
      <c r="T72" s="155">
        <f>#N/A</f>
        <v>0.48726643756116433</v>
      </c>
      <c r="U72" s="107">
        <f>F72-лютий!F72</f>
        <v>680</v>
      </c>
      <c r="V72" s="110">
        <f>G72-лютий!G72</f>
        <v>426.54999999999995</v>
      </c>
      <c r="W72" s="111">
        <f>#N/A</f>
        <v>-253.45000000000005</v>
      </c>
      <c r="X72" s="155">
        <f>#N/A</f>
        <v>0.6272794117647058</v>
      </c>
      <c r="Y72" s="197">
        <f>#N/A</f>
        <v>-0.5230069421680774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>#N/A</f>
        <v>0</v>
      </c>
      <c r="I73" s="213" t="e">
        <f>G73/F73*100</f>
        <v>#DIV/0!</v>
      </c>
      <c r="J73" s="115">
        <f>#N/A</f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>#N/A</f>
        <v>0</v>
      </c>
      <c r="T73" s="155" t="e">
        <f>#N/A</f>
        <v>#DIV/0!</v>
      </c>
      <c r="U73" s="107">
        <f>F73-лютий!F73</f>
        <v>0</v>
      </c>
      <c r="V73" s="110">
        <f>G73-лютий!G73</f>
        <v>0</v>
      </c>
      <c r="W73" s="111">
        <f>#N/A</f>
        <v>0</v>
      </c>
      <c r="X73" s="155" t="e">
        <f>#N/A</f>
        <v>#DIV/0!</v>
      </c>
      <c r="Y73" s="197" t="e">
        <f>#N/A</f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>#N/A</f>
        <v>0</v>
      </c>
      <c r="U74" s="107">
        <f>F74-лютий!F74</f>
        <v>0</v>
      </c>
      <c r="V74" s="110">
        <f>G74-лютий!G74</f>
        <v>0</v>
      </c>
      <c r="W74" s="116">
        <f>#N/A</f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>#N/A</f>
        <v>0</v>
      </c>
      <c r="I75" s="213" t="e">
        <f>G75/F75*100</f>
        <v>#DIV/0!</v>
      </c>
      <c r="J75" s="115">
        <f>#N/A</f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>#N/A</f>
        <v>0</v>
      </c>
      <c r="T75" s="155" t="e">
        <f>#N/A</f>
        <v>#DIV/0!</v>
      </c>
      <c r="U75" s="107">
        <f>F75-лютий!F75</f>
        <v>0</v>
      </c>
      <c r="V75" s="110">
        <f>G75-лютий!G75</f>
        <v>0</v>
      </c>
      <c r="W75" s="111">
        <f>#N/A</f>
        <v>0</v>
      </c>
      <c r="X75" s="155" t="e">
        <f>#N/A</f>
        <v>#DIV/0!</v>
      </c>
      <c r="Y75" s="197" t="e">
        <f>#N/A</f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0</v>
      </c>
      <c r="G76" s="106">
        <v>0</v>
      </c>
      <c r="H76" s="102">
        <f>#N/A</f>
        <v>0</v>
      </c>
      <c r="I76" s="213" t="e">
        <f>G76/F76</f>
        <v>#DIV/0!</v>
      </c>
      <c r="J76" s="115">
        <f>#N/A</f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>#N/A</f>
        <v>-32.89</v>
      </c>
      <c r="T76" s="155">
        <f>#N/A</f>
        <v>0</v>
      </c>
      <c r="U76" s="107">
        <f>F76-лютий!F76</f>
        <v>0</v>
      </c>
      <c r="V76" s="110">
        <f>G76-лютий!G76</f>
        <v>0</v>
      </c>
      <c r="W76" s="111">
        <f>#N/A</f>
        <v>0</v>
      </c>
      <c r="X76" s="155" t="e">
        <f>#N/A</f>
        <v>#DIV/0!</v>
      </c>
      <c r="Y76" s="197">
        <f>#N/A</f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3">
        <v>35</v>
      </c>
      <c r="E77" s="102">
        <v>35</v>
      </c>
      <c r="F77" s="102">
        <v>9.57</v>
      </c>
      <c r="G77" s="106">
        <v>4.74</v>
      </c>
      <c r="H77" s="102">
        <f>#N/A</f>
        <v>-4.83</v>
      </c>
      <c r="I77" s="213">
        <f>G77/F77</f>
        <v>0.49529780564263326</v>
      </c>
      <c r="J77" s="115">
        <f>#N/A</f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14.27</v>
      </c>
      <c r="S77" s="115">
        <f>#N/A</f>
        <v>-9.53</v>
      </c>
      <c r="T77" s="155">
        <f>#N/A</f>
        <v>0.33216538192011213</v>
      </c>
      <c r="U77" s="107">
        <f>F77-лютий!F77</f>
        <v>2.9000000000000004</v>
      </c>
      <c r="V77" s="110">
        <f>G77-лютий!G77</f>
        <v>0</v>
      </c>
      <c r="W77" s="111">
        <f>#N/A</f>
        <v>-2.9000000000000004</v>
      </c>
      <c r="X77" s="155">
        <f>#N/A</f>
        <v>0</v>
      </c>
      <c r="Y77" s="197">
        <f>#N/A</f>
        <v>-0.6906283059816997</v>
      </c>
    </row>
    <row r="78" spans="1:25" s="6" customFormat="1" ht="30.75">
      <c r="A78" s="8"/>
      <c r="B78" s="89" t="s">
        <v>49</v>
      </c>
      <c r="C78" s="34">
        <v>31020000</v>
      </c>
      <c r="D78" s="229"/>
      <c r="E78" s="102">
        <v>0</v>
      </c>
      <c r="F78" s="102">
        <f>E78</f>
        <v>0</v>
      </c>
      <c r="G78" s="106">
        <v>0.45</v>
      </c>
      <c r="H78" s="102">
        <f>#N/A</f>
        <v>0.45</v>
      </c>
      <c r="I78" s="213" t="e">
        <f>G78/F78</f>
        <v>#DIV/0!</v>
      </c>
      <c r="J78" s="115">
        <f>#N/A</f>
        <v>0.45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>#N/A</f>
        <v>5.78</v>
      </c>
      <c r="T78" s="155">
        <f>#N/A</f>
        <v>-0.08442776735459663</v>
      </c>
      <c r="U78" s="107">
        <f>F78-лютий!F78</f>
        <v>0</v>
      </c>
      <c r="V78" s="110">
        <f>G78-лютий!G78</f>
        <v>0.34</v>
      </c>
      <c r="W78" s="111">
        <f>#N/A</f>
        <v>0.34</v>
      </c>
      <c r="X78" s="155"/>
      <c r="Y78" s="197">
        <f>#N/A</f>
        <v>-0.08442776735459663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372195.55700000003</v>
      </c>
      <c r="G79" s="103">
        <f>G8+G53+G77+G78</f>
        <v>378620.77999999997</v>
      </c>
      <c r="H79" s="103">
        <f>G79-F79</f>
        <v>6425.22299999994</v>
      </c>
      <c r="I79" s="210">
        <f>G79/F79</f>
        <v>1.0172630298217127</v>
      </c>
      <c r="J79" s="104">
        <f>G79-E79</f>
        <v>-1249296.92</v>
      </c>
      <c r="K79" s="156">
        <f>G79/E79</f>
        <v>0.23257980424931798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307428.96</v>
      </c>
      <c r="S79" s="104">
        <f>G79-R79</f>
        <v>71191.81999999995</v>
      </c>
      <c r="T79" s="156">
        <f>G79/R79</f>
        <v>1.2315716125117164</v>
      </c>
      <c r="U79" s="103">
        <f>U8+U53+U77+U78</f>
        <v>123391.9</v>
      </c>
      <c r="V79" s="103">
        <f>V8+V53+V77+V78</f>
        <v>129778.33</v>
      </c>
      <c r="W79" s="135">
        <f>V79-U79</f>
        <v>6386.430000000008</v>
      </c>
      <c r="X79" s="156">
        <f>V79/U79</f>
        <v>1.0517572871476977</v>
      </c>
      <c r="Y79" s="197">
        <f>#N/A</f>
        <v>0.0679391469942554</v>
      </c>
    </row>
    <row r="80" spans="1:25" s="39" customFormat="1" ht="17.25" hidden="1">
      <c r="A80" s="36"/>
      <c r="B80" s="43"/>
      <c r="C80" s="51"/>
      <c r="D80" s="239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>#N/A</f>
        <v>0</v>
      </c>
    </row>
    <row r="81" spans="1:25" s="39" customFormat="1" ht="17.25" hidden="1">
      <c r="A81" s="36"/>
      <c r="B81" s="44"/>
      <c r="C81" s="51"/>
      <c r="D81" s="239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>#N/A</f>
        <v>0</v>
      </c>
    </row>
    <row r="82" spans="1:25" s="39" customFormat="1" ht="17.25" hidden="1">
      <c r="A82" s="36"/>
      <c r="B82" s="44"/>
      <c r="C82" s="51"/>
      <c r="D82" s="239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>#N/A</f>
        <v>0</v>
      </c>
    </row>
    <row r="83" spans="2:25" ht="15">
      <c r="B83" s="19" t="s">
        <v>91</v>
      </c>
      <c r="C83" s="52"/>
      <c r="D83" s="240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>#N/A</f>
        <v>0</v>
      </c>
    </row>
    <row r="84" spans="2:25" ht="25.5" customHeight="1" hidden="1">
      <c r="B84" s="165" t="s">
        <v>87</v>
      </c>
      <c r="C84" s="90">
        <v>12020000</v>
      </c>
      <c r="D84" s="241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F84-лютий!F84</f>
        <v>0</v>
      </c>
      <c r="V84" s="110">
        <f>G84-лютий!G84</f>
        <v>0</v>
      </c>
      <c r="W84" s="117"/>
      <c r="X84" s="147"/>
      <c r="Y84" s="197" t="e">
        <f>#N/A</f>
        <v>#DIV/0!</v>
      </c>
    </row>
    <row r="85" spans="2:25" ht="31.5" hidden="1">
      <c r="B85" s="20" t="s">
        <v>52</v>
      </c>
      <c r="C85" s="58">
        <v>18041500</v>
      </c>
      <c r="D85" s="242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F85-лютий!F85</f>
        <v>0</v>
      </c>
      <c r="V85" s="110">
        <f>G85-лютий!G85</f>
        <v>0</v>
      </c>
      <c r="W85" s="117">
        <f>V85-U85</f>
        <v>0</v>
      </c>
      <c r="X85" s="147"/>
      <c r="Y85" s="197" t="e">
        <f>#N/A</f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>#N/A</f>
        <v>0.01</v>
      </c>
      <c r="T86" s="151" t="e">
        <f>#N/A</f>
        <v>#DIV/0!</v>
      </c>
      <c r="U86" s="129">
        <f>F86-лютий!F86</f>
        <v>0</v>
      </c>
      <c r="V86" s="174">
        <f>G86-лютий!G86</f>
        <v>0</v>
      </c>
      <c r="W86" s="131">
        <f>V86-U86</f>
        <v>0</v>
      </c>
      <c r="X86" s="151"/>
      <c r="Y86" s="197" t="e">
        <f>#N/A</f>
        <v>#DIV/0!</v>
      </c>
    </row>
    <row r="87" spans="2:25" ht="45.75" hidden="1">
      <c r="B87" s="22" t="s">
        <v>32</v>
      </c>
      <c r="C87" s="90">
        <v>21110000</v>
      </c>
      <c r="D87" s="241">
        <v>0</v>
      </c>
      <c r="E87" s="127">
        <v>0</v>
      </c>
      <c r="F87" s="127">
        <v>0</v>
      </c>
      <c r="G87" s="128">
        <v>0</v>
      </c>
      <c r="H87" s="129">
        <f>#N/A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>#N/A</f>
        <v>-35.57</v>
      </c>
      <c r="Q87" s="151">
        <f>#N/A</f>
        <v>0</v>
      </c>
      <c r="R87" s="131">
        <v>35.57</v>
      </c>
      <c r="S87" s="131">
        <f>#N/A</f>
        <v>-35.57</v>
      </c>
      <c r="T87" s="147"/>
      <c r="U87" s="129">
        <f>F87-лютий!F87</f>
        <v>0</v>
      </c>
      <c r="V87" s="174">
        <f>G87-лютий!G87</f>
        <v>0</v>
      </c>
      <c r="W87" s="131">
        <f>#N/A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6">
        <v>5000</v>
      </c>
      <c r="E88" s="125">
        <f>5000+3318.039</f>
        <v>8318.039</v>
      </c>
      <c r="F88" s="125">
        <v>806.429</v>
      </c>
      <c r="G88" s="126">
        <v>806.46</v>
      </c>
      <c r="H88" s="112">
        <f>#N/A</f>
        <v>0.031000000000062755</v>
      </c>
      <c r="I88" s="213">
        <f>G88/F88</f>
        <v>1.000038441077888</v>
      </c>
      <c r="J88" s="117">
        <f>G88-E88</f>
        <v>-7511.579000000001</v>
      </c>
      <c r="K88" s="147">
        <f>G88/E88</f>
        <v>0.09695314003697265</v>
      </c>
      <c r="L88" s="117"/>
      <c r="M88" s="117"/>
      <c r="N88" s="117"/>
      <c r="O88" s="117">
        <v>938.14</v>
      </c>
      <c r="P88" s="117">
        <f>#N/A</f>
        <v>7379.899</v>
      </c>
      <c r="Q88" s="147">
        <f>#N/A</f>
        <v>8.866522054277613</v>
      </c>
      <c r="R88" s="117">
        <v>0.11</v>
      </c>
      <c r="S88" s="117">
        <f>#N/A</f>
        <v>806.35</v>
      </c>
      <c r="T88" s="147">
        <f>#N/A</f>
        <v>7331.454545454546</v>
      </c>
      <c r="U88" s="112">
        <f>F88-лютий!F88</f>
        <v>0</v>
      </c>
      <c r="V88" s="118">
        <f>G88-лютий!G88</f>
        <v>0.01999999999998181</v>
      </c>
      <c r="W88" s="117">
        <f>#N/A</f>
        <v>0.01999999999998181</v>
      </c>
      <c r="X88" s="147" t="e">
        <f>V88/U88</f>
        <v>#DIV/0!</v>
      </c>
      <c r="Y88" s="197">
        <f>#N/A</f>
        <v>7322.588023400268</v>
      </c>
    </row>
    <row r="89" spans="2:25" ht="18">
      <c r="B89" s="20" t="s">
        <v>29</v>
      </c>
      <c r="C89" s="58">
        <v>33010000</v>
      </c>
      <c r="D89" s="256">
        <v>16449</v>
      </c>
      <c r="E89" s="125">
        <v>16449</v>
      </c>
      <c r="F89" s="125">
        <v>2015</v>
      </c>
      <c r="G89" s="126">
        <v>1201.71</v>
      </c>
      <c r="H89" s="112">
        <f>#N/A</f>
        <v>-813.29</v>
      </c>
      <c r="I89" s="213">
        <f>G89/F89</f>
        <v>0.5963821339950373</v>
      </c>
      <c r="J89" s="117">
        <f>#N/A</f>
        <v>-15247.29</v>
      </c>
      <c r="K89" s="147">
        <f>G89/E89</f>
        <v>0.07305672077329929</v>
      </c>
      <c r="L89" s="117"/>
      <c r="M89" s="117"/>
      <c r="N89" s="117"/>
      <c r="O89" s="117">
        <v>8143.65</v>
      </c>
      <c r="P89" s="117">
        <f>#N/A</f>
        <v>8305.35</v>
      </c>
      <c r="Q89" s="147">
        <f>#N/A</f>
        <v>2.0198559613932328</v>
      </c>
      <c r="R89" s="117">
        <v>167.2</v>
      </c>
      <c r="S89" s="117">
        <f>#N/A</f>
        <v>1034.51</v>
      </c>
      <c r="T89" s="147">
        <f>#N/A</f>
        <v>7.18726076555024</v>
      </c>
      <c r="U89" s="112">
        <f>F89-лютий!F89</f>
        <v>1000</v>
      </c>
      <c r="V89" s="118">
        <f>G89-лютий!G89</f>
        <v>1007.26</v>
      </c>
      <c r="W89" s="117">
        <f>#N/A</f>
        <v>7.259999999999991</v>
      </c>
      <c r="X89" s="147">
        <f>V89/U89</f>
        <v>1.00726</v>
      </c>
      <c r="Y89" s="197">
        <f>#N/A</f>
        <v>5.167404804157007</v>
      </c>
    </row>
    <row r="90" spans="2:25" ht="31.5">
      <c r="B90" s="20" t="s">
        <v>48</v>
      </c>
      <c r="C90" s="58">
        <v>24170000</v>
      </c>
      <c r="D90" s="256">
        <v>22000</v>
      </c>
      <c r="E90" s="125">
        <f>22000+15</f>
        <v>22015</v>
      </c>
      <c r="F90" s="125">
        <v>6000</v>
      </c>
      <c r="G90" s="126">
        <v>1457.79</v>
      </c>
      <c r="H90" s="112">
        <f>#N/A</f>
        <v>-4542.21</v>
      </c>
      <c r="I90" s="213">
        <f>G90/F90</f>
        <v>0.242965</v>
      </c>
      <c r="J90" s="117">
        <f>#N/A</f>
        <v>-20557.21</v>
      </c>
      <c r="K90" s="147">
        <f>G90/E90</f>
        <v>0.06621803315920963</v>
      </c>
      <c r="L90" s="117"/>
      <c r="M90" s="117"/>
      <c r="N90" s="117"/>
      <c r="O90" s="117">
        <v>17305.88</v>
      </c>
      <c r="P90" s="117">
        <f>#N/A</f>
        <v>4709.119999999999</v>
      </c>
      <c r="Q90" s="147">
        <f>#N/A</f>
        <v>1.2721109819321526</v>
      </c>
      <c r="R90" s="117">
        <v>1214.24</v>
      </c>
      <c r="S90" s="117">
        <f>#N/A</f>
        <v>243.54999999999995</v>
      </c>
      <c r="T90" s="147">
        <f>#N/A</f>
        <v>1.2005781394123072</v>
      </c>
      <c r="U90" s="112">
        <f>F90-лютий!F90</f>
        <v>3000</v>
      </c>
      <c r="V90" s="118">
        <f>G90-лютий!G90</f>
        <v>1126.6399999999999</v>
      </c>
      <c r="W90" s="117">
        <f>#N/A</f>
        <v>-1873.3600000000001</v>
      </c>
      <c r="X90" s="147">
        <f>V90/U90</f>
        <v>0.37554666666666664</v>
      </c>
      <c r="Y90" s="197">
        <f>#N/A</f>
        <v>-0.07153284251984537</v>
      </c>
    </row>
    <row r="91" spans="2:25" ht="18">
      <c r="B91" s="20" t="s">
        <v>88</v>
      </c>
      <c r="C91" s="58">
        <v>24110700</v>
      </c>
      <c r="D91" s="256">
        <v>24</v>
      </c>
      <c r="E91" s="125">
        <v>24</v>
      </c>
      <c r="F91" s="125">
        <v>6</v>
      </c>
      <c r="G91" s="126">
        <v>3</v>
      </c>
      <c r="H91" s="112">
        <f>#N/A</f>
        <v>-3</v>
      </c>
      <c r="I91" s="213">
        <f>G91/F91</f>
        <v>0.5</v>
      </c>
      <c r="J91" s="117">
        <f>#N/A</f>
        <v>-21</v>
      </c>
      <c r="K91" s="147">
        <f>G91/E91</f>
        <v>0.125</v>
      </c>
      <c r="L91" s="117"/>
      <c r="M91" s="117"/>
      <c r="N91" s="117"/>
      <c r="O91" s="117">
        <v>20</v>
      </c>
      <c r="P91" s="117">
        <f>#N/A</f>
        <v>4</v>
      </c>
      <c r="Q91" s="147">
        <f>#N/A</f>
        <v>1.2</v>
      </c>
      <c r="R91" s="117">
        <v>3</v>
      </c>
      <c r="S91" s="117">
        <f>#N/A</f>
        <v>0</v>
      </c>
      <c r="T91" s="147">
        <f>#N/A</f>
        <v>1</v>
      </c>
      <c r="U91" s="112">
        <f>F91-лютий!F91</f>
        <v>2</v>
      </c>
      <c r="V91" s="118">
        <f>G91-лютий!G91</f>
        <v>1</v>
      </c>
      <c r="W91" s="117">
        <f>#N/A</f>
        <v>-1</v>
      </c>
      <c r="X91" s="147">
        <f>V91/U91</f>
        <v>0.5</v>
      </c>
      <c r="Y91" s="197">
        <f>#N/A</f>
        <v>-0.19999999999999996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46806.039000000004</v>
      </c>
      <c r="F92" s="127">
        <f>F88+F89+F90+F91</f>
        <v>8827.429</v>
      </c>
      <c r="G92" s="128">
        <f>G88+G89+G90+G91</f>
        <v>3468.96</v>
      </c>
      <c r="H92" s="129">
        <f>#N/A</f>
        <v>-5358.469</v>
      </c>
      <c r="I92" s="216">
        <f>G92/F92</f>
        <v>0.3929751233343253</v>
      </c>
      <c r="J92" s="131">
        <f>#N/A</f>
        <v>-43337.079000000005</v>
      </c>
      <c r="K92" s="151">
        <f>G92/E92</f>
        <v>0.07411351342932479</v>
      </c>
      <c r="L92" s="131"/>
      <c r="M92" s="131"/>
      <c r="N92" s="131"/>
      <c r="O92" s="131">
        <v>26407.66</v>
      </c>
      <c r="P92" s="131">
        <f>#N/A</f>
        <v>20398.379000000004</v>
      </c>
      <c r="Q92" s="151">
        <f>#N/A</f>
        <v>1.772441746069133</v>
      </c>
      <c r="R92" s="131">
        <v>1384.55474</v>
      </c>
      <c r="S92" s="117">
        <f>#N/A</f>
        <v>2084.40526</v>
      </c>
      <c r="T92" s="147">
        <f>#N/A</f>
        <v>2.5054697367906162</v>
      </c>
      <c r="U92" s="129">
        <f>F92-лютий!F92</f>
        <v>4002</v>
      </c>
      <c r="V92" s="174">
        <f>G92-лютий!G92</f>
        <v>2134.92</v>
      </c>
      <c r="W92" s="131">
        <f>#N/A</f>
        <v>-1867.08</v>
      </c>
      <c r="X92" s="151">
        <f>V92/U92</f>
        <v>0.5334632683658171</v>
      </c>
      <c r="Y92" s="197">
        <f>#N/A</f>
        <v>0.7330279907214832</v>
      </c>
      <c r="AB92" s="4" t="s">
        <v>202</v>
      </c>
    </row>
    <row r="93" spans="2:25" ht="46.5">
      <c r="B93" s="12" t="s">
        <v>35</v>
      </c>
      <c r="C93" s="60">
        <v>24062100</v>
      </c>
      <c r="D93" s="257">
        <v>43</v>
      </c>
      <c r="E93" s="125">
        <v>43</v>
      </c>
      <c r="F93" s="125">
        <v>7</v>
      </c>
      <c r="G93" s="126">
        <v>1.24</v>
      </c>
      <c r="H93" s="112">
        <f>#N/A</f>
        <v>-5.76</v>
      </c>
      <c r="I93" s="213"/>
      <c r="J93" s="117">
        <f>#N/A</f>
        <v>-41.76</v>
      </c>
      <c r="K93" s="147"/>
      <c r="L93" s="117"/>
      <c r="M93" s="117"/>
      <c r="N93" s="117"/>
      <c r="O93" s="117">
        <v>49.17</v>
      </c>
      <c r="P93" s="117">
        <f>#N/A</f>
        <v>-6.170000000000002</v>
      </c>
      <c r="Q93" s="147">
        <f>#N/A</f>
        <v>0.8745169818995322</v>
      </c>
      <c r="R93" s="117">
        <v>8.78</v>
      </c>
      <c r="S93" s="117">
        <f>#N/A</f>
        <v>-7.539999999999999</v>
      </c>
      <c r="T93" s="147">
        <f>#N/A</f>
        <v>0.14123006833712984</v>
      </c>
      <c r="U93" s="112">
        <f>F93-лютий!F93</f>
        <v>4</v>
      </c>
      <c r="V93" s="118">
        <f>G93-лютий!G93</f>
        <v>1.22</v>
      </c>
      <c r="W93" s="117">
        <f>#N/A</f>
        <v>-2.7800000000000002</v>
      </c>
      <c r="X93" s="147"/>
      <c r="Y93" s="197">
        <f>#N/A</f>
        <v>-0.7332869135624024</v>
      </c>
    </row>
    <row r="94" spans="2:25" ht="18" hidden="1">
      <c r="B94" s="166" t="s">
        <v>47</v>
      </c>
      <c r="C94" s="58">
        <v>24061600</v>
      </c>
      <c r="D94" s="256"/>
      <c r="E94" s="125">
        <v>0</v>
      </c>
      <c r="F94" s="125">
        <f>E94</f>
        <v>0</v>
      </c>
      <c r="G94" s="126">
        <v>0</v>
      </c>
      <c r="H94" s="112">
        <f>#N/A</f>
        <v>0</v>
      </c>
      <c r="I94" s="213"/>
      <c r="J94" s="117">
        <f>#N/A</f>
        <v>0</v>
      </c>
      <c r="K94" s="224"/>
      <c r="L94" s="134"/>
      <c r="M94" s="134"/>
      <c r="N94" s="134"/>
      <c r="O94" s="134"/>
      <c r="P94" s="117">
        <f>#N/A</f>
        <v>0</v>
      </c>
      <c r="Q94" s="147" t="e">
        <f>#N/A</f>
        <v>#DIV/0!</v>
      </c>
      <c r="R94" s="117">
        <f>O94</f>
        <v>0</v>
      </c>
      <c r="S94" s="117">
        <f>#N/A</f>
        <v>0</v>
      </c>
      <c r="T94" s="147" t="e">
        <f>#N/A</f>
        <v>#DIV/0!</v>
      </c>
      <c r="U94" s="112">
        <f>F94-лютий!F94</f>
        <v>0</v>
      </c>
      <c r="V94" s="118">
        <f>G94-лютий!G94</f>
        <v>0</v>
      </c>
      <c r="W94" s="117">
        <f>#N/A</f>
        <v>0</v>
      </c>
      <c r="X94" s="224"/>
      <c r="Y94" s="197" t="e">
        <f>#N/A</f>
        <v>#DIV/0!</v>
      </c>
    </row>
    <row r="95" spans="2:25" ht="18">
      <c r="B95" s="20" t="s">
        <v>41</v>
      </c>
      <c r="C95" s="58">
        <v>19010000</v>
      </c>
      <c r="D95" s="256">
        <v>9050</v>
      </c>
      <c r="E95" s="125">
        <v>9050</v>
      </c>
      <c r="F95" s="125">
        <v>2819.75</v>
      </c>
      <c r="G95" s="126">
        <v>2501.35</v>
      </c>
      <c r="H95" s="112">
        <f>#N/A</f>
        <v>-318.4000000000001</v>
      </c>
      <c r="I95" s="213">
        <f>G95/F95</f>
        <v>0.8870821881372462</v>
      </c>
      <c r="J95" s="117">
        <f>#N/A</f>
        <v>-6548.65</v>
      </c>
      <c r="K95" s="147">
        <f>G95/E95</f>
        <v>0.2763922651933702</v>
      </c>
      <c r="L95" s="117"/>
      <c r="M95" s="117"/>
      <c r="N95" s="117"/>
      <c r="O95" s="117">
        <v>8033.94</v>
      </c>
      <c r="P95" s="117">
        <f>#N/A</f>
        <v>1016.0600000000004</v>
      </c>
      <c r="Q95" s="147">
        <f>#N/A</f>
        <v>1.1264709470073215</v>
      </c>
      <c r="R95" s="117">
        <v>2217.95</v>
      </c>
      <c r="S95" s="117">
        <f>#N/A</f>
        <v>283.4000000000001</v>
      </c>
      <c r="T95" s="147">
        <f>#N/A</f>
        <v>1.1277756486845962</v>
      </c>
      <c r="U95" s="112">
        <f>F95-лютий!F95</f>
        <v>1</v>
      </c>
      <c r="V95" s="118">
        <f>G95-лютий!G95</f>
        <v>123.11000000000013</v>
      </c>
      <c r="W95" s="117">
        <f>#N/A</f>
        <v>122.11000000000013</v>
      </c>
      <c r="X95" s="147">
        <f>V95/U95</f>
        <v>123.11000000000013</v>
      </c>
      <c r="Y95" s="197">
        <f>#N/A</f>
        <v>0.0013047016772747</v>
      </c>
    </row>
    <row r="96" spans="2:25" ht="31.5" hidden="1">
      <c r="B96" s="20" t="s">
        <v>45</v>
      </c>
      <c r="C96" s="58">
        <v>19050000</v>
      </c>
      <c r="D96" s="242"/>
      <c r="E96" s="125">
        <v>0</v>
      </c>
      <c r="F96" s="125">
        <v>0</v>
      </c>
      <c r="G96" s="126">
        <v>0</v>
      </c>
      <c r="H96" s="112">
        <f>#N/A</f>
        <v>0</v>
      </c>
      <c r="I96" s="213"/>
      <c r="J96" s="117">
        <f>#N/A</f>
        <v>0</v>
      </c>
      <c r="K96" s="147"/>
      <c r="L96" s="117"/>
      <c r="M96" s="117"/>
      <c r="N96" s="117"/>
      <c r="O96" s="117">
        <v>0.1</v>
      </c>
      <c r="P96" s="117">
        <f>#N/A</f>
        <v>-0.1</v>
      </c>
      <c r="Q96" s="147">
        <f>#N/A</f>
        <v>0</v>
      </c>
      <c r="R96" s="117">
        <v>0</v>
      </c>
      <c r="S96" s="117">
        <f>#N/A</f>
        <v>0</v>
      </c>
      <c r="T96" s="147" t="e">
        <f>#N/A</f>
        <v>#DIV/0!</v>
      </c>
      <c r="U96" s="112">
        <f>F96-січень!F96</f>
        <v>0</v>
      </c>
      <c r="V96" s="118">
        <f>G96-лютий!G96</f>
        <v>0</v>
      </c>
      <c r="W96" s="117">
        <f>#N/A</f>
        <v>0</v>
      </c>
      <c r="X96" s="224"/>
      <c r="Y96" s="197" t="e">
        <f>#N/A</f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2826.75</v>
      </c>
      <c r="G97" s="128">
        <f>G93+G96+G94+G95</f>
        <v>2502.5899999999997</v>
      </c>
      <c r="H97" s="129">
        <f>#N/A</f>
        <v>-324.1600000000003</v>
      </c>
      <c r="I97" s="216">
        <f>G97/F97</f>
        <v>0.8853241354912885</v>
      </c>
      <c r="J97" s="131">
        <f>#N/A</f>
        <v>-6590.41</v>
      </c>
      <c r="K97" s="151">
        <f>G97/E97</f>
        <v>0.27522159903222254</v>
      </c>
      <c r="L97" s="131"/>
      <c r="M97" s="131"/>
      <c r="N97" s="131"/>
      <c r="O97" s="131">
        <v>8083.21</v>
      </c>
      <c r="P97" s="131">
        <f>#N/A</f>
        <v>1009.79</v>
      </c>
      <c r="Q97" s="151">
        <f>#N/A</f>
        <v>1.1249243802895137</v>
      </c>
      <c r="R97" s="131">
        <v>2226.76</v>
      </c>
      <c r="S97" s="117">
        <f>#N/A</f>
        <v>275.8299999999995</v>
      </c>
      <c r="T97" s="147">
        <f>#N/A</f>
        <v>1.1238705563239861</v>
      </c>
      <c r="U97" s="129">
        <f>F97-лютий!F97</f>
        <v>5</v>
      </c>
      <c r="V97" s="174">
        <f>G97-лютий!G97</f>
        <v>124.32999999999993</v>
      </c>
      <c r="W97" s="131">
        <f>#N/A</f>
        <v>119.32999999999993</v>
      </c>
      <c r="X97" s="151">
        <f>V97/U97</f>
        <v>24.865999999999985</v>
      </c>
      <c r="Y97" s="197">
        <f>#N/A</f>
        <v>-0.001053823965527556</v>
      </c>
    </row>
    <row r="98" spans="2:25" ht="30.75">
      <c r="B98" s="12" t="s">
        <v>36</v>
      </c>
      <c r="C98" s="34">
        <v>24110900</v>
      </c>
      <c r="D98" s="229">
        <v>19.413</v>
      </c>
      <c r="E98" s="125">
        <v>47.413</v>
      </c>
      <c r="F98" s="125">
        <v>8.12522</v>
      </c>
      <c r="G98" s="126">
        <v>12.91</v>
      </c>
      <c r="H98" s="112">
        <f>#N/A</f>
        <v>4.78478</v>
      </c>
      <c r="I98" s="213">
        <f>G98/F98</f>
        <v>1.5888800549400508</v>
      </c>
      <c r="J98" s="117">
        <f>#N/A</f>
        <v>-34.503</v>
      </c>
      <c r="K98" s="147">
        <f>G98/E98</f>
        <v>0.2722881910024677</v>
      </c>
      <c r="L98" s="117"/>
      <c r="M98" s="117"/>
      <c r="N98" s="117"/>
      <c r="O98" s="117">
        <v>37.96</v>
      </c>
      <c r="P98" s="117">
        <f>#N/A</f>
        <v>9.452999999999996</v>
      </c>
      <c r="Q98" s="147">
        <f>#N/A</f>
        <v>1.2490252897787144</v>
      </c>
      <c r="R98" s="131">
        <v>7.12</v>
      </c>
      <c r="S98" s="117">
        <f>#N/A</f>
        <v>5.79</v>
      </c>
      <c r="T98" s="147">
        <f>#N/A</f>
        <v>1.8132022471910112</v>
      </c>
      <c r="U98" s="112">
        <f>F98-лютий!F98</f>
        <v>4.665220000000001</v>
      </c>
      <c r="V98" s="118">
        <f>G98-лютий!G98</f>
        <v>9.13</v>
      </c>
      <c r="W98" s="117">
        <f>#N/A</f>
        <v>4.46478</v>
      </c>
      <c r="X98" s="147">
        <f>V98/U98</f>
        <v>1.957035252356802</v>
      </c>
      <c r="Y98" s="197">
        <f>#N/A</f>
        <v>0.5641769574122968</v>
      </c>
    </row>
    <row r="99" spans="2:25" ht="18" hidden="1">
      <c r="B99" s="83"/>
      <c r="C99" s="34">
        <v>21110000</v>
      </c>
      <c r="D99" s="229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>#N/A</f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>#N/A</f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55946.452000000005</v>
      </c>
      <c r="F100" s="183">
        <f>F86+F87+F92+F97+F98</f>
        <v>11662.30422</v>
      </c>
      <c r="G100" s="183">
        <f>G86+G87+G92+G97+G98</f>
        <v>5984.469999999999</v>
      </c>
      <c r="H100" s="184">
        <f>G100-F100</f>
        <v>-5677.834220000001</v>
      </c>
      <c r="I100" s="217">
        <f>G100/F100</f>
        <v>0.5131464492014426</v>
      </c>
      <c r="J100" s="177">
        <f>G100-E100</f>
        <v>-49961.982</v>
      </c>
      <c r="K100" s="178">
        <f>G100/E100</f>
        <v>0.10696781987175878</v>
      </c>
      <c r="L100" s="177"/>
      <c r="M100" s="177"/>
      <c r="N100" s="177"/>
      <c r="O100" s="177">
        <v>34561.77</v>
      </c>
      <c r="P100" s="177">
        <f>E100-O100</f>
        <v>21384.682000000008</v>
      </c>
      <c r="Q100" s="178">
        <f>E100/O100</f>
        <v>1.6187380449554525</v>
      </c>
      <c r="R100" s="183">
        <v>3654.01</v>
      </c>
      <c r="S100" s="177">
        <f>G100-R100</f>
        <v>2330.459999999999</v>
      </c>
      <c r="T100" s="178">
        <f>#N/A</f>
        <v>1.6377815057977398</v>
      </c>
      <c r="U100" s="183">
        <f>U86+U87+U92+U97+U98</f>
        <v>4011.66522</v>
      </c>
      <c r="V100" s="183">
        <f>V86+V87+V92+V97+V98</f>
        <v>2268.38</v>
      </c>
      <c r="W100" s="177">
        <f>V100-U100</f>
        <v>-1743.2852199999998</v>
      </c>
      <c r="X100" s="178">
        <f>V100/U100</f>
        <v>0.5654459870407631</v>
      </c>
      <c r="Y100" s="197">
        <f>T100-Q100</f>
        <v>0.019043460842287363</v>
      </c>
    </row>
    <row r="101" spans="2:25" ht="17.25">
      <c r="B101" s="185" t="s">
        <v>103</v>
      </c>
      <c r="C101" s="182"/>
      <c r="D101" s="251">
        <f>D79+D100</f>
        <v>1680503.113</v>
      </c>
      <c r="E101" s="183">
        <f>E79+E100</f>
        <v>1683864.152</v>
      </c>
      <c r="F101" s="183">
        <f>F79+F100</f>
        <v>383857.86122</v>
      </c>
      <c r="G101" s="183">
        <f>G79+G100</f>
        <v>384605.24999999994</v>
      </c>
      <c r="H101" s="184">
        <f>G101-F101</f>
        <v>747.3887799999211</v>
      </c>
      <c r="I101" s="217">
        <f>G101/F101</f>
        <v>1.0019470456528479</v>
      </c>
      <c r="J101" s="177">
        <f>G101-E101</f>
        <v>-1299258.902</v>
      </c>
      <c r="K101" s="178">
        <f>G101/E101</f>
        <v>0.22840634117852515</v>
      </c>
      <c r="L101" s="177"/>
      <c r="M101" s="177"/>
      <c r="N101" s="177"/>
      <c r="O101" s="177">
        <f>O79+O100</f>
        <v>1433558.23</v>
      </c>
      <c r="P101" s="177">
        <f>E101-O101</f>
        <v>250305.92200000002</v>
      </c>
      <c r="Q101" s="178">
        <f>E101/O101</f>
        <v>1.1746046423241558</v>
      </c>
      <c r="R101" s="177">
        <f>R79+R100</f>
        <v>311082.97000000003</v>
      </c>
      <c r="S101" s="177">
        <f>S79+S100</f>
        <v>73522.27999999994</v>
      </c>
      <c r="T101" s="178">
        <f>#N/A</f>
        <v>1.2363429923534546</v>
      </c>
      <c r="U101" s="184">
        <f>U79+U100</f>
        <v>127403.56521999999</v>
      </c>
      <c r="V101" s="184">
        <f>V79+V100</f>
        <v>132046.71</v>
      </c>
      <c r="W101" s="177">
        <f>V101-U101</f>
        <v>4643.144780000002</v>
      </c>
      <c r="X101" s="178">
        <f>V101/U101</f>
        <v>1.0364443865600013</v>
      </c>
      <c r="Y101" s="197">
        <f>T101-Q101</f>
        <v>0.06173835002929873</v>
      </c>
    </row>
    <row r="102" spans="2:24" ht="15">
      <c r="B102" s="262" t="s">
        <v>159</v>
      </c>
      <c r="D102" s="4"/>
      <c r="F102" s="78"/>
      <c r="G102" s="4"/>
      <c r="U102" s="226"/>
      <c r="V102" s="226"/>
      <c r="W102" s="226"/>
      <c r="X102" s="226"/>
    </row>
    <row r="103" spans="2:24" ht="15">
      <c r="B103" s="4" t="s">
        <v>160</v>
      </c>
      <c r="C103" s="264">
        <v>0</v>
      </c>
      <c r="D103" s="4" t="s">
        <v>161</v>
      </c>
      <c r="F103" s="78"/>
      <c r="G103" s="4"/>
      <c r="U103" s="226"/>
      <c r="V103" s="226"/>
      <c r="W103" s="226"/>
      <c r="X103" s="226"/>
    </row>
    <row r="104" spans="2:22" ht="30.75">
      <c r="B104" s="266" t="s">
        <v>162</v>
      </c>
      <c r="C104" s="267"/>
      <c r="D104" s="4" t="s">
        <v>24</v>
      </c>
      <c r="F104" s="78"/>
      <c r="G104" s="267">
        <f>IF(H79&lt;0,ABS(H79/C103),0)</f>
        <v>0</v>
      </c>
      <c r="H104" s="268"/>
      <c r="I104" s="268"/>
      <c r="J104" s="268"/>
      <c r="V104" s="267">
        <f>IF(W79&lt;0,ABS(W79/C103),0)</f>
        <v>0</v>
      </c>
    </row>
    <row r="105" spans="2:7" ht="30.75">
      <c r="B105" s="270" t="s">
        <v>163</v>
      </c>
      <c r="C105" s="271">
        <v>43189</v>
      </c>
      <c r="D105" s="267"/>
      <c r="E105" s="267">
        <v>10196.34</v>
      </c>
      <c r="F105" s="78"/>
      <c r="G105" s="4" t="s">
        <v>164</v>
      </c>
    </row>
    <row r="106" spans="3:10" ht="15">
      <c r="C106" s="271">
        <v>43188</v>
      </c>
      <c r="D106" s="267"/>
      <c r="E106" s="267">
        <v>14970</v>
      </c>
      <c r="F106" s="78"/>
      <c r="G106" s="500"/>
      <c r="H106" s="500"/>
      <c r="I106" s="273"/>
      <c r="J106" s="274"/>
    </row>
    <row r="107" spans="3:10" ht="15">
      <c r="C107" s="271">
        <v>43187</v>
      </c>
      <c r="D107" s="267"/>
      <c r="E107" s="267">
        <v>5510.6</v>
      </c>
      <c r="F107" s="78"/>
      <c r="G107" s="500"/>
      <c r="H107" s="500"/>
      <c r="I107" s="273"/>
      <c r="J107" s="276"/>
    </row>
    <row r="108" spans="3:10" ht="15">
      <c r="C108" s="271"/>
      <c r="D108" s="4"/>
      <c r="F108" s="278"/>
      <c r="G108" s="501"/>
      <c r="H108" s="501"/>
      <c r="I108" s="279"/>
      <c r="J108" s="274"/>
    </row>
    <row r="109" spans="2:10" ht="16.5">
      <c r="B109" s="502" t="s">
        <v>165</v>
      </c>
      <c r="C109" s="503"/>
      <c r="D109" s="280"/>
      <c r="E109" s="434">
        <f>'[1]залишки'!$G$6/1000</f>
        <v>1127.463</v>
      </c>
      <c r="F109" s="282" t="s">
        <v>166</v>
      </c>
      <c r="G109" s="500"/>
      <c r="H109" s="500"/>
      <c r="I109" s="283"/>
      <c r="J109" s="274"/>
    </row>
    <row r="110" spans="4:10" ht="15">
      <c r="D110" s="4"/>
      <c r="F110" s="278"/>
      <c r="G110" s="500"/>
      <c r="H110" s="500"/>
      <c r="I110" s="278"/>
      <c r="J110" s="281"/>
    </row>
    <row r="111" spans="2:10" ht="15" customHeight="1" hidden="1">
      <c r="B111" s="499"/>
      <c r="C111" s="499"/>
      <c r="D111" s="285"/>
      <c r="E111" s="286"/>
      <c r="F111" s="278"/>
      <c r="G111" s="500"/>
      <c r="H111" s="500"/>
      <c r="I111" s="278"/>
      <c r="J111" s="281"/>
    </row>
    <row r="112" spans="2:24" ht="15" hidden="1">
      <c r="B112" s="287" t="s">
        <v>168</v>
      </c>
      <c r="D112" s="278">
        <f>D60+D63+D64</f>
        <v>2095</v>
      </c>
      <c r="E112" s="278">
        <f>#N/A</f>
        <v>2095</v>
      </c>
      <c r="F112" s="278">
        <f>#N/A</f>
        <v>477</v>
      </c>
      <c r="G112" s="435">
        <f>#N/A</f>
        <v>490.25</v>
      </c>
      <c r="H112" s="278">
        <f>#N/A</f>
        <v>13.24999999999998</v>
      </c>
      <c r="I112" s="436">
        <f>G112/F112</f>
        <v>1.0277777777777777</v>
      </c>
      <c r="J112" s="278">
        <f>#N/A</f>
        <v>-1604.7500000000002</v>
      </c>
      <c r="K112" s="436">
        <f>G112/E112</f>
        <v>0.23400954653937947</v>
      </c>
      <c r="L112" s="278">
        <f>#N/A</f>
        <v>0</v>
      </c>
      <c r="M112" s="278">
        <f>#N/A</f>
        <v>0</v>
      </c>
      <c r="N112" s="278">
        <f>#N/A</f>
        <v>0</v>
      </c>
      <c r="O112" s="278">
        <f>#N/A</f>
        <v>1956.6200000000001</v>
      </c>
      <c r="P112" s="278">
        <f>#N/A</f>
        <v>138.37999999999994</v>
      </c>
      <c r="Q112" s="436">
        <f>E112/O112</f>
        <v>1.0707240036389283</v>
      </c>
      <c r="R112" s="278">
        <f>#N/A</f>
        <v>440.15</v>
      </c>
      <c r="S112" s="278">
        <f>#N/A</f>
        <v>50.1</v>
      </c>
      <c r="T112" s="436">
        <f>G112/R112</f>
        <v>1.1138248324434852</v>
      </c>
      <c r="U112" s="278">
        <f>#N/A</f>
        <v>168</v>
      </c>
      <c r="V112" s="288">
        <f>#N/A</f>
        <v>184.67</v>
      </c>
      <c r="W112" s="278">
        <f>#N/A</f>
        <v>16.669999999999984</v>
      </c>
      <c r="X112" s="436">
        <f>V112/U112</f>
        <v>1.0992261904761904</v>
      </c>
    </row>
    <row r="113" spans="4:9" ht="15" hidden="1">
      <c r="D113" s="265"/>
      <c r="F113" s="78"/>
      <c r="G113" s="4"/>
      <c r="I113" s="267"/>
    </row>
    <row r="114" spans="2:10" ht="15" hidden="1">
      <c r="B114" s="4" t="s">
        <v>204</v>
      </c>
      <c r="D114" s="267">
        <f>D9+D15+D18+D19+D23+D54+D57+D59+D71+D77+D93+D95</f>
        <v>1592543.3</v>
      </c>
      <c r="E114" s="267">
        <f>E9+E15+E18+E19+E23+E54+E57+E59+E71+E77+E93+E95</f>
        <v>1592543.3</v>
      </c>
      <c r="F114" s="267">
        <f>F9+F15+F18+F19+F23+F54+F57+F59+F71+F77+F93+F95</f>
        <v>364410.869</v>
      </c>
      <c r="G114" s="289">
        <f>G9+G15+G18+G19+G23+G54+G57+G59+G71+G77+G93+G95</f>
        <v>369694.9799999999</v>
      </c>
      <c r="H114" s="267">
        <f>H9+H15+H18+H19+H23+H54+H57+H59+H71+H77+H93+H95</f>
        <v>5284.1109999999935</v>
      </c>
      <c r="I114" s="163">
        <f>G114/F114</f>
        <v>1.0145004209520434</v>
      </c>
      <c r="J114" s="267"/>
    </row>
    <row r="115" spans="2:10" ht="15" hidden="1">
      <c r="B115" s="4" t="s">
        <v>205</v>
      </c>
      <c r="D115" s="267">
        <f>D55+D58+D60+D63+D64+D65+D72+D76+D88+D89+D90+D91+D98</f>
        <v>65675.813</v>
      </c>
      <c r="E115" s="267">
        <f>E55+E58+E60+E63+E64+E65+E72+E76+E88+E89+E90+E91+E98</f>
        <v>69036.852</v>
      </c>
      <c r="F115" s="267">
        <f>F55+F58+F60+F63+F64+F65+F72+F76+F88+F89+F90+F91+F98</f>
        <v>13533.85222</v>
      </c>
      <c r="G115" s="289">
        <f>G55+G58+G60+G63+G64+G65+G72+G76+G88+G89+G90+G91+G98</f>
        <v>8495.75</v>
      </c>
      <c r="H115" s="267">
        <f>H55+H58+H60+H63+H64+H65+H72+H76+H88+H89+H90+H91+H98</f>
        <v>-5038.102220000001</v>
      </c>
      <c r="I115" s="163">
        <f>G115/F115</f>
        <v>0.627740709880457</v>
      </c>
      <c r="J115" s="267"/>
    </row>
    <row r="116" spans="2:10" ht="15" hidden="1">
      <c r="B116" s="4" t="s">
        <v>206</v>
      </c>
      <c r="D116" s="267">
        <f>D56+D62+D66+D78</f>
        <v>22284</v>
      </c>
      <c r="E116" s="267">
        <f>E56+E62+E66+E78</f>
        <v>22284</v>
      </c>
      <c r="F116" s="267">
        <f>F56+F62+F66+F78</f>
        <v>5913.14</v>
      </c>
      <c r="G116" s="289">
        <f>G56+G62+G66+G78</f>
        <v>6414.509999999999</v>
      </c>
      <c r="H116" s="267">
        <f>H56+H62+H66+H78</f>
        <v>501.36999999999966</v>
      </c>
      <c r="I116" s="163">
        <f>G116/F116</f>
        <v>1.0847891306480142</v>
      </c>
      <c r="J116" s="267"/>
    </row>
    <row r="117" spans="2:10" ht="15" hidden="1">
      <c r="B117" s="365" t="s">
        <v>207</v>
      </c>
      <c r="C117" s="438"/>
      <c r="D117" s="439">
        <f>D114+D115+D116</f>
        <v>1680503.1130000001</v>
      </c>
      <c r="E117" s="439">
        <f>E114+E115+E116</f>
        <v>1683864.152</v>
      </c>
      <c r="F117" s="439">
        <f>F114+F115+F116</f>
        <v>383857.86122</v>
      </c>
      <c r="G117" s="440">
        <f>G114+G115+G116</f>
        <v>384605.23999999993</v>
      </c>
      <c r="H117" s="439">
        <f>H114+H115+H116</f>
        <v>747.3787799999925</v>
      </c>
      <c r="I117" s="441">
        <f>G117/F117</f>
        <v>1.0019470196015383</v>
      </c>
      <c r="J117" s="267"/>
    </row>
    <row r="118" spans="4:10" ht="15" hidden="1">
      <c r="D118" s="267">
        <f>D117-D101</f>
        <v>0</v>
      </c>
      <c r="E118" s="267">
        <f>E117-E101</f>
        <v>0</v>
      </c>
      <c r="F118" s="267">
        <f>F117-F101</f>
        <v>0</v>
      </c>
      <c r="G118" s="289">
        <f>G117-G101</f>
        <v>-0.010000000009313226</v>
      </c>
      <c r="H118" s="267">
        <f>H117-H101</f>
        <v>-0.009999999928595571</v>
      </c>
      <c r="I118" s="163"/>
      <c r="J118" s="267"/>
    </row>
    <row r="119" spans="4:7" ht="15" hidden="1">
      <c r="D119" s="4"/>
      <c r="E119" s="4" t="s">
        <v>164</v>
      </c>
      <c r="F119" s="78"/>
      <c r="G119" s="4"/>
    </row>
    <row r="120" spans="2:7" ht="15" hidden="1">
      <c r="B120" s="272"/>
      <c r="D120" s="4"/>
      <c r="E120" s="267"/>
      <c r="F120" s="78"/>
      <c r="G120" s="4"/>
    </row>
    <row r="121" spans="2:8" ht="15" hidden="1">
      <c r="B121" s="272"/>
      <c r="D121" s="4"/>
      <c r="E121" s="267"/>
      <c r="F121" s="78"/>
      <c r="G121" s="4"/>
      <c r="H121" s="267"/>
    </row>
    <row r="122" spans="4:11" ht="15" hidden="1">
      <c r="D122" s="3"/>
      <c r="F122" s="78"/>
      <c r="G122" s="4"/>
      <c r="H122" s="267"/>
      <c r="I122" s="3"/>
      <c r="K122" s="3"/>
    </row>
    <row r="123" spans="2:12" ht="18" hidden="1">
      <c r="B123" s="83" t="s">
        <v>174</v>
      </c>
      <c r="C123" s="34">
        <v>25000000</v>
      </c>
      <c r="D123" s="125">
        <v>90449.655</v>
      </c>
      <c r="E123" s="458">
        <v>18102.06</v>
      </c>
      <c r="F123" s="458">
        <v>20254.32</v>
      </c>
      <c r="G123" s="459">
        <v>2152.2599999999984</v>
      </c>
      <c r="H123" s="114">
        <f>G123-F123</f>
        <v>-18102.06</v>
      </c>
      <c r="I123" s="147">
        <f>#N/A</f>
        <v>0.10626177526572102</v>
      </c>
      <c r="J123" s="117">
        <f>G123-E123</f>
        <v>-15949.800000000003</v>
      </c>
      <c r="K123" s="147">
        <f>G123/E123</f>
        <v>0.1188958604711286</v>
      </c>
      <c r="L123" s="3"/>
    </row>
    <row r="124" spans="2:12" ht="17.25" hidden="1">
      <c r="B124" s="13" t="s">
        <v>30</v>
      </c>
      <c r="C124" s="294"/>
      <c r="D124" s="295">
        <f>D123+D100</f>
        <v>143035.068</v>
      </c>
      <c r="E124" s="295">
        <f>#N/A</f>
        <v>74048.512</v>
      </c>
      <c r="F124" s="295">
        <f>#N/A</f>
        <v>31916.624219999998</v>
      </c>
      <c r="G124" s="295">
        <f>#N/A</f>
        <v>8136.729999999998</v>
      </c>
      <c r="H124" s="295">
        <f>#N/A</f>
        <v>-23779.894220000002</v>
      </c>
      <c r="I124" s="447">
        <f>#N/A</f>
        <v>0.25493704922907406</v>
      </c>
      <c r="J124" s="295">
        <f>#N/A</f>
        <v>-65911.782</v>
      </c>
      <c r="K124" s="447">
        <f>G124/F124</f>
        <v>0.25493704922907406</v>
      </c>
      <c r="L124" s="3"/>
    </row>
    <row r="125" spans="2:12" ht="17.25" hidden="1">
      <c r="B125" s="302" t="s">
        <v>175</v>
      </c>
      <c r="C125" s="294"/>
      <c r="D125" s="295">
        <f>D101+D123</f>
        <v>1770952.768</v>
      </c>
      <c r="E125" s="295">
        <f>#N/A</f>
        <v>1701966.212</v>
      </c>
      <c r="F125" s="295">
        <f>#N/A</f>
        <v>404112.18122</v>
      </c>
      <c r="G125" s="295">
        <f>#N/A</f>
        <v>386757.50999999995</v>
      </c>
      <c r="H125" s="295">
        <f>#N/A</f>
        <v>-17354.67122000008</v>
      </c>
      <c r="I125" s="447">
        <f>#N/A</f>
        <v>0.9570548178785233</v>
      </c>
      <c r="J125" s="295">
        <f>#N/A</f>
        <v>-1315208.702</v>
      </c>
      <c r="K125" s="447">
        <f>G125/F125</f>
        <v>0.9570548178785233</v>
      </c>
      <c r="L125" s="3"/>
    </row>
    <row r="126" spans="2:12" ht="15" hidden="1">
      <c r="B126" s="304" t="s">
        <v>176</v>
      </c>
      <c r="C126" s="305">
        <v>40000000</v>
      </c>
      <c r="D126" s="306">
        <v>1499675.196</v>
      </c>
      <c r="E126" s="306">
        <v>1499675.2</v>
      </c>
      <c r="F126" s="460">
        <v>322086.73</v>
      </c>
      <c r="G126" s="460"/>
      <c r="H126" s="306">
        <f>G126-F126</f>
        <v>-322086.73</v>
      </c>
      <c r="I126" s="448">
        <f>#N/A</f>
        <v>0</v>
      </c>
      <c r="J126" s="29">
        <f>G126-E126</f>
        <v>-1499675.2</v>
      </c>
      <c r="K126" s="448">
        <f>G126/E126</f>
        <v>0</v>
      </c>
      <c r="L126" s="3"/>
    </row>
    <row r="127" spans="2:12" ht="26.25" hidden="1">
      <c r="B127" s="450" t="s">
        <v>211</v>
      </c>
      <c r="C127" s="451">
        <v>41033900</v>
      </c>
      <c r="D127" s="452">
        <v>249086.1</v>
      </c>
      <c r="E127" s="453">
        <v>249086.1</v>
      </c>
      <c r="F127" s="453">
        <v>38359.2</v>
      </c>
      <c r="G127" s="452">
        <v>38359.2</v>
      </c>
      <c r="H127" s="452">
        <f>G127-F127</f>
        <v>0</v>
      </c>
      <c r="I127" s="145">
        <f>#N/A</f>
        <v>1</v>
      </c>
      <c r="J127" s="74">
        <f>G127-E127</f>
        <v>-210726.90000000002</v>
      </c>
      <c r="K127" s="145">
        <f>G127/E127</f>
        <v>0.15399976152824263</v>
      </c>
      <c r="L127" s="3"/>
    </row>
    <row r="128" spans="2:12" ht="26.25" hidden="1">
      <c r="B128" s="450" t="s">
        <v>212</v>
      </c>
      <c r="C128" s="451">
        <v>41034200</v>
      </c>
      <c r="D128" s="452">
        <v>226186</v>
      </c>
      <c r="E128" s="452">
        <v>226186</v>
      </c>
      <c r="F128" s="452">
        <v>44005.9</v>
      </c>
      <c r="G128" s="452">
        <v>44005.9</v>
      </c>
      <c r="H128" s="452">
        <f>G128-F128</f>
        <v>0</v>
      </c>
      <c r="I128" s="145">
        <f>#N/A</f>
        <v>1</v>
      </c>
      <c r="J128" s="74">
        <f>G128-E128</f>
        <v>-182180.1</v>
      </c>
      <c r="K128" s="145">
        <f>G128/E128</f>
        <v>0.19455625016579275</v>
      </c>
      <c r="L128" s="3"/>
    </row>
    <row r="129" spans="2:12" ht="15" hidden="1">
      <c r="B129" s="304" t="s">
        <v>208</v>
      </c>
      <c r="C129" s="305"/>
      <c r="D129" s="306">
        <v>0</v>
      </c>
      <c r="E129" s="306">
        <v>0</v>
      </c>
      <c r="F129" s="306">
        <v>0</v>
      </c>
      <c r="G129" s="306">
        <v>0</v>
      </c>
      <c r="H129" s="306">
        <f>G129-F129</f>
        <v>0</v>
      </c>
      <c r="I129" s="448" t="e">
        <f>#N/A</f>
        <v>#DIV/0!</v>
      </c>
      <c r="J129" s="29">
        <f>G129-E129</f>
        <v>0</v>
      </c>
      <c r="K129" s="448" t="e">
        <f>G129/E129</f>
        <v>#DIV/0!</v>
      </c>
      <c r="L129" s="3"/>
    </row>
    <row r="130" spans="2:12" ht="18" hidden="1">
      <c r="B130" s="312" t="s">
        <v>179</v>
      </c>
      <c r="C130" s="313"/>
      <c r="D130" s="314">
        <f>D125+D126+D129</f>
        <v>3270627.9639999997</v>
      </c>
      <c r="E130" s="314">
        <f>#N/A</f>
        <v>3201641.412</v>
      </c>
      <c r="F130" s="314">
        <f>#N/A</f>
        <v>726198.91122</v>
      </c>
      <c r="G130" s="314">
        <f>#N/A</f>
        <v>386757.50999999995</v>
      </c>
      <c r="H130" s="314">
        <f>#N/A</f>
        <v>-339441.40122000006</v>
      </c>
      <c r="I130" s="449">
        <f>#N/A</f>
        <v>0.532577925998615</v>
      </c>
      <c r="J130" s="314">
        <f>#N/A</f>
        <v>-2814883.902</v>
      </c>
      <c r="K130" s="449">
        <f>G130/E130</f>
        <v>0.12079975869577488</v>
      </c>
      <c r="L130" s="3"/>
    </row>
    <row r="131" spans="4:7" ht="15" hidden="1">
      <c r="D131" s="4"/>
      <c r="F131" s="78"/>
      <c r="G131" s="4"/>
    </row>
    <row r="132" spans="4:7" ht="15" hidden="1">
      <c r="D132" s="4"/>
      <c r="F132" s="78"/>
      <c r="G132" s="4"/>
    </row>
    <row r="133" spans="4:7" ht="15" hidden="1">
      <c r="D133" s="267"/>
      <c r="F133" s="78"/>
      <c r="G133" s="4"/>
    </row>
    <row r="134" spans="4:7" ht="15" hidden="1">
      <c r="D134" s="267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2:7" ht="15" hidden="1">
      <c r="B137" s="320" t="s">
        <v>180</v>
      </c>
      <c r="D137" s="4"/>
      <c r="F137" s="78"/>
      <c r="G137" s="4"/>
    </row>
    <row r="138" spans="2:26" ht="30.75" hidden="1">
      <c r="B138" s="321" t="s">
        <v>181</v>
      </c>
      <c r="C138" s="322">
        <v>13010200</v>
      </c>
      <c r="D138" s="323">
        <f>D17</f>
        <v>0</v>
      </c>
      <c r="E138" s="323">
        <f>#N/A</f>
        <v>0</v>
      </c>
      <c r="F138" s="323">
        <f>#N/A</f>
        <v>0</v>
      </c>
      <c r="G138" s="323">
        <f>#N/A</f>
        <v>0</v>
      </c>
      <c r="H138" s="323">
        <f>#N/A</f>
        <v>0</v>
      </c>
      <c r="I138" s="357">
        <f>#N/A</f>
        <v>0</v>
      </c>
      <c r="J138" s="323">
        <f>#N/A</f>
        <v>0</v>
      </c>
      <c r="K138" s="357">
        <f>#N/A</f>
        <v>0</v>
      </c>
      <c r="L138" s="323">
        <f>#N/A</f>
        <v>0</v>
      </c>
      <c r="M138" s="323">
        <f>#N/A</f>
        <v>0</v>
      </c>
      <c r="N138" s="323">
        <f>#N/A</f>
        <v>0</v>
      </c>
      <c r="O138" s="323">
        <f>#N/A</f>
        <v>0.49</v>
      </c>
      <c r="P138" s="323">
        <f>#N/A</f>
        <v>-0.49</v>
      </c>
      <c r="Q138" s="357">
        <f>#N/A</f>
        <v>0</v>
      </c>
      <c r="R138" s="323">
        <f>#N/A</f>
        <v>0</v>
      </c>
      <c r="S138" s="323">
        <f>#N/A</f>
        <v>0</v>
      </c>
      <c r="T138" s="357" t="e">
        <f>#N/A</f>
        <v>#DIV/0!</v>
      </c>
      <c r="U138" s="323">
        <f>#N/A</f>
        <v>0</v>
      </c>
      <c r="V138" s="323">
        <f>#N/A</f>
        <v>0</v>
      </c>
      <c r="W138" s="323">
        <f>#N/A</f>
        <v>0</v>
      </c>
      <c r="X138" s="357">
        <f>#N/A</f>
        <v>0</v>
      </c>
      <c r="Y138" s="446" t="e">
        <f>T138-Q138</f>
        <v>#DIV/0!</v>
      </c>
      <c r="Z138" s="163"/>
    </row>
    <row r="139" spans="2:26" ht="30.75" hidden="1">
      <c r="B139" s="329" t="s">
        <v>182</v>
      </c>
      <c r="C139" s="322">
        <v>13030200</v>
      </c>
      <c r="D139" s="323">
        <f>D18</f>
        <v>235.6</v>
      </c>
      <c r="E139" s="323">
        <f>#N/A</f>
        <v>235.6</v>
      </c>
      <c r="F139" s="323">
        <f>#N/A</f>
        <v>120</v>
      </c>
      <c r="G139" s="323">
        <f>#N/A</f>
        <v>194.24</v>
      </c>
      <c r="H139" s="323">
        <f>#N/A</f>
        <v>74.24000000000001</v>
      </c>
      <c r="I139" s="357">
        <f>#N/A</f>
        <v>1.6186666666666667</v>
      </c>
      <c r="J139" s="323">
        <f>#N/A</f>
        <v>-41.359999999999985</v>
      </c>
      <c r="K139" s="357">
        <f>#N/A</f>
        <v>82.44482173174873</v>
      </c>
      <c r="L139" s="323">
        <f>#N/A</f>
        <v>0</v>
      </c>
      <c r="M139" s="323">
        <f>#N/A</f>
        <v>0</v>
      </c>
      <c r="N139" s="323">
        <f>#N/A</f>
        <v>0</v>
      </c>
      <c r="O139" s="323">
        <f>#N/A</f>
        <v>220.59</v>
      </c>
      <c r="P139" s="323">
        <f>#N/A</f>
        <v>15.009999999999991</v>
      </c>
      <c r="Q139" s="357">
        <f>#N/A</f>
        <v>1.0680447889750215</v>
      </c>
      <c r="R139" s="323">
        <f>#N/A</f>
        <v>118.46</v>
      </c>
      <c r="S139" s="323">
        <f>#N/A</f>
        <v>75.78000000000002</v>
      </c>
      <c r="T139" s="357">
        <f>#N/A</f>
        <v>1.639709606618268</v>
      </c>
      <c r="U139" s="323">
        <f>#N/A</f>
        <v>0</v>
      </c>
      <c r="V139" s="323">
        <f>#N/A</f>
        <v>0</v>
      </c>
      <c r="W139" s="323">
        <f>#N/A</f>
        <v>0</v>
      </c>
      <c r="X139" s="357" t="e">
        <f>#N/A</f>
        <v>#DIV/0!</v>
      </c>
      <c r="Y139" s="446">
        <f>#N/A</f>
        <v>0.5716648176432464</v>
      </c>
      <c r="Z139" s="163"/>
    </row>
    <row r="140" spans="2:26" ht="15" hidden="1">
      <c r="B140" s="331" t="s">
        <v>51</v>
      </c>
      <c r="C140" s="332">
        <v>21080500</v>
      </c>
      <c r="D140" s="333">
        <f>D56</f>
        <v>158</v>
      </c>
      <c r="E140" s="333">
        <f>#N/A</f>
        <v>158</v>
      </c>
      <c r="F140" s="333">
        <f>#N/A</f>
        <v>28</v>
      </c>
      <c r="G140" s="333">
        <f>#N/A</f>
        <v>51.82</v>
      </c>
      <c r="H140" s="333">
        <f>#N/A</f>
        <v>23.82</v>
      </c>
      <c r="I140" s="442">
        <f>#N/A</f>
        <v>1.8507142857142858</v>
      </c>
      <c r="J140" s="333">
        <f>#N/A</f>
        <v>-106.18</v>
      </c>
      <c r="K140" s="442">
        <f>#N/A</f>
        <v>0.3279746835443038</v>
      </c>
      <c r="L140" s="333">
        <f>#N/A</f>
        <v>0</v>
      </c>
      <c r="M140" s="333">
        <f>#N/A</f>
        <v>0</v>
      </c>
      <c r="N140" s="333">
        <f>#N/A</f>
        <v>0</v>
      </c>
      <c r="O140" s="333">
        <f>#N/A</f>
        <v>153.3</v>
      </c>
      <c r="P140" s="333">
        <f>#N/A</f>
        <v>4.699999999999989</v>
      </c>
      <c r="Q140" s="442">
        <f>#N/A</f>
        <v>1.030658838878017</v>
      </c>
      <c r="R140" s="333">
        <f>#N/A</f>
        <v>72.08</v>
      </c>
      <c r="S140" s="333">
        <f>#N/A</f>
        <v>-20.259999999999998</v>
      </c>
      <c r="T140" s="442">
        <f>#N/A</f>
        <v>0.7189234184239733</v>
      </c>
      <c r="U140" s="333">
        <f>#N/A</f>
        <v>14</v>
      </c>
      <c r="V140" s="333">
        <f>#N/A</f>
        <v>38.59</v>
      </c>
      <c r="W140" s="333">
        <f>#N/A</f>
        <v>24.590000000000003</v>
      </c>
      <c r="X140" s="357">
        <f>#N/A</f>
        <v>2.7564285714285717</v>
      </c>
      <c r="Y140" s="446">
        <f>#N/A</f>
        <v>-0.31173542045404357</v>
      </c>
      <c r="Z140" s="163"/>
    </row>
    <row r="141" spans="2:26" ht="30.75" hidden="1">
      <c r="B141" s="336" t="s">
        <v>34</v>
      </c>
      <c r="C141" s="337">
        <v>21080900</v>
      </c>
      <c r="D141" s="338">
        <f>D57</f>
        <v>13</v>
      </c>
      <c r="E141" s="338">
        <f>#N/A</f>
        <v>13</v>
      </c>
      <c r="F141" s="338">
        <f>#N/A</f>
        <v>4</v>
      </c>
      <c r="G141" s="338">
        <f>#N/A</f>
        <v>2.02</v>
      </c>
      <c r="H141" s="338">
        <f>#N/A</f>
        <v>-1.98</v>
      </c>
      <c r="I141" s="443">
        <f>#N/A</f>
        <v>0.505</v>
      </c>
      <c r="J141" s="338">
        <f>#N/A</f>
        <v>-10.98</v>
      </c>
      <c r="K141" s="443">
        <f>#N/A</f>
        <v>0.1553846153846154</v>
      </c>
      <c r="L141" s="338">
        <f>#N/A</f>
        <v>0</v>
      </c>
      <c r="M141" s="338">
        <f>#N/A</f>
        <v>0</v>
      </c>
      <c r="N141" s="338">
        <f>#N/A</f>
        <v>0</v>
      </c>
      <c r="O141" s="338">
        <f>#N/A</f>
        <v>12.95</v>
      </c>
      <c r="P141" s="338">
        <f>#N/A</f>
        <v>0.05000000000000071</v>
      </c>
      <c r="Q141" s="443">
        <f>#N/A</f>
        <v>1.0038610038610039</v>
      </c>
      <c r="R141" s="338">
        <f>#N/A</f>
        <v>2.03</v>
      </c>
      <c r="S141" s="338">
        <f>#N/A</f>
        <v>-0.009999999999999787</v>
      </c>
      <c r="T141" s="443">
        <f>#N/A</f>
        <v>0</v>
      </c>
      <c r="U141" s="338">
        <f>#N/A</f>
        <v>1</v>
      </c>
      <c r="V141" s="338">
        <f>#N/A</f>
        <v>0</v>
      </c>
      <c r="W141" s="338">
        <f>#N/A</f>
        <v>-1</v>
      </c>
      <c r="X141" s="445">
        <f>#N/A</f>
        <v>0</v>
      </c>
      <c r="Y141" s="446">
        <f>#N/A</f>
        <v>-1.0038610038610039</v>
      </c>
      <c r="Z141" s="163"/>
    </row>
    <row r="142" spans="2:26" ht="15" hidden="1">
      <c r="B142" s="329" t="s">
        <v>16</v>
      </c>
      <c r="C142" s="322">
        <v>21081100</v>
      </c>
      <c r="D142" s="323">
        <f>D58</f>
        <v>744</v>
      </c>
      <c r="E142" s="323">
        <f>#N/A</f>
        <v>744</v>
      </c>
      <c r="F142" s="323">
        <f>#N/A</f>
        <v>148.43</v>
      </c>
      <c r="G142" s="323">
        <f>#N/A</f>
        <v>224.59</v>
      </c>
      <c r="H142" s="323">
        <f>#N/A</f>
        <v>76.16</v>
      </c>
      <c r="I142" s="357">
        <f>#N/A</f>
        <v>1.5131038199824833</v>
      </c>
      <c r="J142" s="323">
        <f>#N/A</f>
        <v>-519.41</v>
      </c>
      <c r="K142" s="357">
        <f>#N/A</f>
        <v>0.3018682795698925</v>
      </c>
      <c r="L142" s="323">
        <f>#N/A</f>
        <v>0</v>
      </c>
      <c r="M142" s="323">
        <f>#N/A</f>
        <v>0</v>
      </c>
      <c r="N142" s="323">
        <f>#N/A</f>
        <v>0</v>
      </c>
      <c r="O142" s="323">
        <f>#N/A</f>
        <v>705.31</v>
      </c>
      <c r="P142" s="323">
        <f>#N/A</f>
        <v>38.690000000000055</v>
      </c>
      <c r="Q142" s="357">
        <f>#N/A</f>
        <v>1.0548553118486907</v>
      </c>
      <c r="R142" s="323">
        <f>#N/A</f>
        <v>277.76</v>
      </c>
      <c r="S142" s="323">
        <f>#N/A</f>
        <v>-53.16999999999999</v>
      </c>
      <c r="T142" s="357">
        <f>#N/A</f>
        <v>0.8085757488479263</v>
      </c>
      <c r="U142" s="323">
        <f>#N/A</f>
        <v>60</v>
      </c>
      <c r="V142" s="323">
        <f>#N/A</f>
        <v>172.41</v>
      </c>
      <c r="W142" s="323">
        <f>#N/A</f>
        <v>112.41</v>
      </c>
      <c r="X142" s="357">
        <f>#N/A</f>
        <v>2.8735</v>
      </c>
      <c r="Y142" s="446">
        <f>#N/A</f>
        <v>-0.24627956300076448</v>
      </c>
      <c r="Z142" s="163"/>
    </row>
    <row r="143" spans="2:26" ht="46.5" hidden="1">
      <c r="B143" s="329" t="s">
        <v>67</v>
      </c>
      <c r="C143" s="322">
        <v>21081500</v>
      </c>
      <c r="D143" s="323">
        <f>D59</f>
        <v>115.5</v>
      </c>
      <c r="E143" s="323">
        <f>#N/A</f>
        <v>115.5</v>
      </c>
      <c r="F143" s="323">
        <f>#N/A</f>
        <v>20</v>
      </c>
      <c r="G143" s="323">
        <f>#N/A</f>
        <v>8.62</v>
      </c>
      <c r="H143" s="323">
        <f>#N/A</f>
        <v>-11.38</v>
      </c>
      <c r="I143" s="357">
        <f>#N/A</f>
        <v>0.43099999999999994</v>
      </c>
      <c r="J143" s="323">
        <f>#N/A</f>
        <v>-106.88</v>
      </c>
      <c r="K143" s="357">
        <f>#N/A</f>
        <v>0.07463203463203462</v>
      </c>
      <c r="L143" s="323">
        <f>#N/A</f>
        <v>0</v>
      </c>
      <c r="M143" s="323">
        <f>#N/A</f>
        <v>0</v>
      </c>
      <c r="N143" s="323">
        <f>#N/A</f>
        <v>0</v>
      </c>
      <c r="O143" s="323">
        <f>#N/A</f>
        <v>114.3</v>
      </c>
      <c r="P143" s="323">
        <f>#N/A</f>
        <v>1.2000000000000028</v>
      </c>
      <c r="Q143" s="357">
        <f>#N/A</f>
        <v>1.010498687664042</v>
      </c>
      <c r="R143" s="323">
        <f>#N/A</f>
        <v>0.51</v>
      </c>
      <c r="S143" s="323">
        <f>#N/A</f>
        <v>8.11</v>
      </c>
      <c r="T143" s="357">
        <f>#N/A</f>
        <v>16.901960784313722</v>
      </c>
      <c r="U143" s="323">
        <f>#N/A</f>
        <v>10</v>
      </c>
      <c r="V143" s="323">
        <f>#N/A</f>
        <v>20.2</v>
      </c>
      <c r="W143" s="323">
        <f>#N/A</f>
        <v>10.2</v>
      </c>
      <c r="X143" s="357">
        <f>#N/A</f>
        <v>2.02</v>
      </c>
      <c r="Y143" s="446">
        <f>#N/A</f>
        <v>15.891462096649681</v>
      </c>
      <c r="Z143" s="163"/>
    </row>
    <row r="144" spans="2:26" ht="46.5" hidden="1">
      <c r="B144" s="329" t="s">
        <v>17</v>
      </c>
      <c r="C144" s="322" t="s">
        <v>18</v>
      </c>
      <c r="D144" s="323">
        <f>D71</f>
        <v>3</v>
      </c>
      <c r="E144" s="323">
        <f>#N/A</f>
        <v>3</v>
      </c>
      <c r="F144" s="323">
        <f>#N/A</f>
        <v>1.5</v>
      </c>
      <c r="G144" s="323">
        <f>#N/A</f>
        <v>0</v>
      </c>
      <c r="H144" s="323">
        <f>#N/A</f>
        <v>-1.5</v>
      </c>
      <c r="I144" s="357">
        <f>#N/A</f>
        <v>0</v>
      </c>
      <c r="J144" s="323">
        <f>#N/A</f>
        <v>-3</v>
      </c>
      <c r="K144" s="357">
        <f>#N/A</f>
        <v>0</v>
      </c>
      <c r="L144" s="323">
        <f>#N/A</f>
        <v>0</v>
      </c>
      <c r="M144" s="323">
        <f>#N/A</f>
        <v>0</v>
      </c>
      <c r="N144" s="323">
        <f>#N/A</f>
        <v>0</v>
      </c>
      <c r="O144" s="323">
        <f>#N/A</f>
        <v>2.04</v>
      </c>
      <c r="P144" s="323">
        <f>#N/A</f>
        <v>0.96</v>
      </c>
      <c r="Q144" s="357">
        <f>#N/A</f>
        <v>1.4705882352941175</v>
      </c>
      <c r="R144" s="323">
        <f>#N/A</f>
        <v>2.04</v>
      </c>
      <c r="S144" s="323">
        <f>#N/A</f>
        <v>-2.04</v>
      </c>
      <c r="T144" s="357">
        <f>#N/A</f>
        <v>0</v>
      </c>
      <c r="U144" s="323">
        <f>#N/A</f>
        <v>0</v>
      </c>
      <c r="V144" s="323">
        <f>#N/A</f>
        <v>0</v>
      </c>
      <c r="W144" s="323">
        <f>#N/A</f>
        <v>0</v>
      </c>
      <c r="X144" s="357">
        <f>#N/A</f>
        <v>0</v>
      </c>
      <c r="Y144" s="446">
        <f>#N/A</f>
        <v>-1.4705882352941175</v>
      </c>
      <c r="Z144" s="163"/>
    </row>
    <row r="145" spans="2:26" ht="30.75" hidden="1">
      <c r="B145" s="344" t="s">
        <v>39</v>
      </c>
      <c r="C145" s="322">
        <v>31010200</v>
      </c>
      <c r="D145" s="345">
        <f>D77</f>
        <v>35</v>
      </c>
      <c r="E145" s="345">
        <f>#N/A</f>
        <v>35</v>
      </c>
      <c r="F145" s="345">
        <f>#N/A</f>
        <v>9.57</v>
      </c>
      <c r="G145" s="345">
        <f>#N/A</f>
        <v>4.74</v>
      </c>
      <c r="H145" s="345">
        <f>#N/A</f>
        <v>-4.83</v>
      </c>
      <c r="I145" s="444">
        <f>#N/A</f>
        <v>0.49529780564263326</v>
      </c>
      <c r="J145" s="345">
        <f>#N/A</f>
        <v>-30.259999999999998</v>
      </c>
      <c r="K145" s="444">
        <f>#N/A</f>
        <v>0.13542857142857143</v>
      </c>
      <c r="L145" s="345">
        <f>#N/A</f>
        <v>0</v>
      </c>
      <c r="M145" s="345">
        <f>#N/A</f>
        <v>0</v>
      </c>
      <c r="N145" s="345">
        <f>#N/A</f>
        <v>0</v>
      </c>
      <c r="O145" s="345">
        <f>#N/A</f>
        <v>34.22</v>
      </c>
      <c r="P145" s="345">
        <f>#N/A</f>
        <v>0.7800000000000011</v>
      </c>
      <c r="Q145" s="444">
        <f>#N/A</f>
        <v>1.0227936879018118</v>
      </c>
      <c r="R145" s="345">
        <f>#N/A</f>
        <v>14.27</v>
      </c>
      <c r="S145" s="345">
        <f>#N/A</f>
        <v>-9.53</v>
      </c>
      <c r="T145" s="444">
        <f>#N/A</f>
        <v>0.33216538192011213</v>
      </c>
      <c r="U145" s="345">
        <f>#N/A</f>
        <v>2.9000000000000004</v>
      </c>
      <c r="V145" s="345">
        <f>#N/A</f>
        <v>0</v>
      </c>
      <c r="W145" s="345">
        <f>#N/A</f>
        <v>-2.9000000000000004</v>
      </c>
      <c r="X145" s="444">
        <f>#N/A</f>
        <v>0</v>
      </c>
      <c r="Y145" s="446">
        <f>#N/A</f>
        <v>-0.6906283059816997</v>
      </c>
      <c r="Z145" s="163"/>
    </row>
    <row r="146" spans="2:26" ht="30.75" hidden="1">
      <c r="B146" s="344" t="s">
        <v>49</v>
      </c>
      <c r="C146" s="322">
        <v>31020000</v>
      </c>
      <c r="D146" s="345">
        <f>D78</f>
        <v>0</v>
      </c>
      <c r="E146" s="345">
        <f>#N/A</f>
        <v>0</v>
      </c>
      <c r="F146" s="345">
        <f>#N/A</f>
        <v>0</v>
      </c>
      <c r="G146" s="345">
        <f>#N/A</f>
        <v>0.45</v>
      </c>
      <c r="H146" s="345">
        <f>#N/A</f>
        <v>0.45</v>
      </c>
      <c r="I146" s="444" t="e">
        <f>#N/A</f>
        <v>#DIV/0!</v>
      </c>
      <c r="J146" s="345">
        <f>#N/A</f>
        <v>0.45</v>
      </c>
      <c r="K146" s="444">
        <f>#N/A</f>
        <v>0</v>
      </c>
      <c r="L146" s="345">
        <f>#N/A</f>
        <v>0</v>
      </c>
      <c r="M146" s="345">
        <f>#N/A</f>
        <v>0</v>
      </c>
      <c r="N146" s="345">
        <f>#N/A</f>
        <v>0</v>
      </c>
      <c r="O146" s="345">
        <f>#N/A</f>
        <v>-4.86</v>
      </c>
      <c r="P146" s="345">
        <f>#N/A</f>
        <v>4.86</v>
      </c>
      <c r="Q146" s="444">
        <f>#N/A</f>
        <v>0</v>
      </c>
      <c r="R146" s="345">
        <f>#N/A</f>
        <v>-5.33</v>
      </c>
      <c r="S146" s="345">
        <f>#N/A</f>
        <v>5.78</v>
      </c>
      <c r="T146" s="444">
        <f>#N/A</f>
        <v>-0.08442776735459663</v>
      </c>
      <c r="U146" s="345">
        <f>#N/A</f>
        <v>0</v>
      </c>
      <c r="V146" s="345">
        <f>#N/A</f>
        <v>0.34</v>
      </c>
      <c r="W146" s="345">
        <f>#N/A</f>
        <v>0.34</v>
      </c>
      <c r="X146" s="444">
        <f>#N/A</f>
        <v>0</v>
      </c>
      <c r="Y146" s="446">
        <f>#N/A</f>
        <v>-0.08442776735459663</v>
      </c>
      <c r="Z146" s="163"/>
    </row>
    <row r="147" spans="4:26" ht="15" hidden="1">
      <c r="D147" s="351">
        <f>SUM(D138:D146)</f>
        <v>1304.1</v>
      </c>
      <c r="E147" s="351">
        <f>SUM(E138:E146)</f>
        <v>1304.1</v>
      </c>
      <c r="F147" s="351">
        <f>SUM(F138:F146)</f>
        <v>331.5</v>
      </c>
      <c r="G147" s="351">
        <f>SUM(G138:G146)</f>
        <v>486.48</v>
      </c>
      <c r="H147" s="351">
        <f>SUM(H138:H146)</f>
        <v>154.98</v>
      </c>
      <c r="I147" s="189">
        <f>G147/F147</f>
        <v>1.4675113122171946</v>
      </c>
      <c r="J147" s="351">
        <f>G147-E147</f>
        <v>-817.6199999999999</v>
      </c>
      <c r="K147" s="441">
        <f>G147/E147</f>
        <v>0.3730388773867035</v>
      </c>
      <c r="O147" s="351">
        <f>SUM(O138:O146)</f>
        <v>1238.34</v>
      </c>
      <c r="P147" s="351">
        <f>SUM(P138:P146)</f>
        <v>65.76000000000005</v>
      </c>
      <c r="Q147" s="189">
        <f>E147/O147</f>
        <v>1.053103348030428</v>
      </c>
      <c r="R147" s="351">
        <f>SUM(R138:R146)</f>
        <v>481.82</v>
      </c>
      <c r="S147" s="351">
        <f>SUM(S138:S146)</f>
        <v>4.660000000000033</v>
      </c>
      <c r="T147" s="189">
        <f>G147/R147</f>
        <v>1.0096716616163712</v>
      </c>
      <c r="U147" s="351">
        <f>SUM(U138:U146)</f>
        <v>87.9</v>
      </c>
      <c r="V147" s="351">
        <f>SUM(V138:V146)</f>
        <v>231.54</v>
      </c>
      <c r="W147" s="351">
        <f>SUM(W138:W146)</f>
        <v>143.64</v>
      </c>
      <c r="X147" s="189">
        <f>V147/U147</f>
        <v>2.634129692832764</v>
      </c>
      <c r="Y147" s="189">
        <f>#N/A</f>
        <v>-0.0434316864140567</v>
      </c>
      <c r="Z147" s="163"/>
    </row>
    <row r="148" spans="4:25" ht="15" hidden="1">
      <c r="D148" s="4"/>
      <c r="F148" s="78"/>
      <c r="G148" s="4"/>
      <c r="Y148" s="189"/>
    </row>
    <row r="149" spans="2:25" ht="15" hidden="1">
      <c r="B149" s="354" t="s">
        <v>183</v>
      </c>
      <c r="D149" s="4"/>
      <c r="F149" s="78"/>
      <c r="G149" s="4"/>
      <c r="Y149" s="189"/>
    </row>
    <row r="150" spans="2:25" ht="30.75" hidden="1">
      <c r="B150" s="355" t="s">
        <v>89</v>
      </c>
      <c r="C150" s="356">
        <v>22010300</v>
      </c>
      <c r="D150" s="323">
        <f>D60</f>
        <v>1284</v>
      </c>
      <c r="E150" s="323">
        <f>#N/A</f>
        <v>1284</v>
      </c>
      <c r="F150" s="323">
        <f>#N/A</f>
        <v>284</v>
      </c>
      <c r="G150" s="323">
        <f>#N/A</f>
        <v>280.33</v>
      </c>
      <c r="H150" s="323">
        <f>#N/A</f>
        <v>-3.670000000000016</v>
      </c>
      <c r="I150" s="357">
        <f>#N/A</f>
        <v>0.9870774647887324</v>
      </c>
      <c r="J150" s="323">
        <f>#N/A</f>
        <v>-1003.6700000000001</v>
      </c>
      <c r="K150" s="357">
        <f>#N/A</f>
        <v>0.21832554517133956</v>
      </c>
      <c r="L150" s="323">
        <f>#N/A</f>
        <v>0</v>
      </c>
      <c r="M150" s="323">
        <f>#N/A</f>
        <v>0</v>
      </c>
      <c r="N150" s="323">
        <f>#N/A</f>
        <v>0</v>
      </c>
      <c r="O150" s="323">
        <f>#N/A</f>
        <v>1205.14</v>
      </c>
      <c r="P150" s="323">
        <f>#N/A</f>
        <v>78.8599999999999</v>
      </c>
      <c r="Q150" s="357">
        <f>#N/A</f>
        <v>1.0654363808354215</v>
      </c>
      <c r="R150" s="323">
        <f>#N/A</f>
        <v>300.95</v>
      </c>
      <c r="S150" s="323">
        <f>#N/A</f>
        <v>-20.620000000000005</v>
      </c>
      <c r="T150" s="357">
        <f>#N/A</f>
        <v>0.9314836351553414</v>
      </c>
      <c r="U150" s="323">
        <f>#N/A</f>
        <v>100</v>
      </c>
      <c r="V150" s="323">
        <f>#N/A</f>
        <v>103.13999999999999</v>
      </c>
      <c r="W150" s="323">
        <f>#N/A</f>
        <v>3.1399999999999864</v>
      </c>
      <c r="X150" s="357">
        <f>#N/A</f>
        <v>1.0313999999999999</v>
      </c>
      <c r="Y150" s="446">
        <f>#N/A</f>
        <v>-0.1339527456800801</v>
      </c>
    </row>
    <row r="151" spans="2:25" ht="15" hidden="1">
      <c r="B151" s="355" t="s">
        <v>106</v>
      </c>
      <c r="C151" s="356">
        <v>22010200</v>
      </c>
      <c r="D151" s="323">
        <f>D61</f>
        <v>0</v>
      </c>
      <c r="E151" s="323">
        <f>#N/A</f>
        <v>0</v>
      </c>
      <c r="F151" s="323">
        <f>#N/A</f>
        <v>0</v>
      </c>
      <c r="G151" s="323">
        <f>#N/A</f>
        <v>0</v>
      </c>
      <c r="H151" s="323">
        <f>#N/A</f>
        <v>0</v>
      </c>
      <c r="I151" s="357" t="e">
        <f>#N/A</f>
        <v>#DIV/0!</v>
      </c>
      <c r="J151" s="323">
        <f>#N/A</f>
        <v>0</v>
      </c>
      <c r="K151" s="357" t="e">
        <f>#N/A</f>
        <v>#DIV/0!</v>
      </c>
      <c r="L151" s="323">
        <f>#N/A</f>
        <v>0</v>
      </c>
      <c r="M151" s="323">
        <f>#N/A</f>
        <v>0</v>
      </c>
      <c r="N151" s="323">
        <f>#N/A</f>
        <v>0</v>
      </c>
      <c r="O151" s="323">
        <f>#N/A</f>
        <v>23.38</v>
      </c>
      <c r="P151" s="323">
        <f>#N/A</f>
        <v>-23.38</v>
      </c>
      <c r="Q151" s="357">
        <f>#N/A</f>
        <v>0</v>
      </c>
      <c r="R151" s="323">
        <f>#N/A</f>
        <v>0</v>
      </c>
      <c r="S151" s="323">
        <f>#N/A</f>
        <v>0</v>
      </c>
      <c r="T151" s="357">
        <f>#N/A</f>
        <v>0</v>
      </c>
      <c r="U151" s="323">
        <f>#N/A</f>
        <v>0</v>
      </c>
      <c r="V151" s="323">
        <f>#N/A</f>
        <v>0</v>
      </c>
      <c r="W151" s="323">
        <f>#N/A</f>
        <v>0</v>
      </c>
      <c r="X151" s="357" t="e">
        <f>#N/A</f>
        <v>#DIV/0!</v>
      </c>
      <c r="Y151" s="446">
        <f>#N/A</f>
        <v>0</v>
      </c>
    </row>
    <row r="152" spans="2:25" ht="15" hidden="1">
      <c r="B152" s="358" t="s">
        <v>65</v>
      </c>
      <c r="C152" s="359">
        <v>22012500</v>
      </c>
      <c r="D152" s="360">
        <f>D62</f>
        <v>21260</v>
      </c>
      <c r="E152" s="360">
        <f>#N/A</f>
        <v>21260</v>
      </c>
      <c r="F152" s="360">
        <f>#N/A</f>
        <v>5690</v>
      </c>
      <c r="G152" s="360">
        <f>#N/A</f>
        <v>6201.94</v>
      </c>
      <c r="H152" s="360">
        <f>#N/A</f>
        <v>511.9399999999996</v>
      </c>
      <c r="I152" s="362">
        <f>#N/A</f>
        <v>1.0899718804920913</v>
      </c>
      <c r="J152" s="360">
        <f>#N/A</f>
        <v>-15058.060000000001</v>
      </c>
      <c r="K152" s="362">
        <f>#N/A</f>
        <v>0.2917187206020696</v>
      </c>
      <c r="L152" s="360">
        <f>#N/A</f>
        <v>0</v>
      </c>
      <c r="M152" s="360">
        <f>#N/A</f>
        <v>0</v>
      </c>
      <c r="N152" s="360">
        <f>#N/A</f>
        <v>0</v>
      </c>
      <c r="O152" s="360">
        <f>#N/A</f>
        <v>20110.14</v>
      </c>
      <c r="P152" s="360">
        <f>#N/A</f>
        <v>1149.8600000000006</v>
      </c>
      <c r="Q152" s="362">
        <f>#N/A</f>
        <v>1.0571781200926498</v>
      </c>
      <c r="R152" s="360">
        <f>#N/A</f>
        <v>3584.94</v>
      </c>
      <c r="S152" s="360">
        <f>#N/A</f>
        <v>2616.9999999999995</v>
      </c>
      <c r="T152" s="362">
        <f>#N/A</f>
        <v>1.729998270542882</v>
      </c>
      <c r="U152" s="360">
        <f>#N/A</f>
        <v>1800</v>
      </c>
      <c r="V152" s="360">
        <f>#N/A</f>
        <v>2246.5199999999995</v>
      </c>
      <c r="W152" s="360">
        <f>#N/A</f>
        <v>446.5199999999995</v>
      </c>
      <c r="X152" s="362">
        <f>#N/A</f>
        <v>1.2480666666666664</v>
      </c>
      <c r="Y152" s="446">
        <f>#N/A</f>
        <v>0.6728201504502322</v>
      </c>
    </row>
    <row r="153" spans="2:25" ht="30.75" hidden="1">
      <c r="B153" s="358" t="s">
        <v>86</v>
      </c>
      <c r="C153" s="359">
        <v>22012600</v>
      </c>
      <c r="D153" s="360">
        <f>D63</f>
        <v>767</v>
      </c>
      <c r="E153" s="360">
        <f>#N/A</f>
        <v>767</v>
      </c>
      <c r="F153" s="360">
        <f>#N/A</f>
        <v>185</v>
      </c>
      <c r="G153" s="360">
        <f>#N/A</f>
        <v>202.16</v>
      </c>
      <c r="H153" s="360">
        <f>#N/A</f>
        <v>17.159999999999997</v>
      </c>
      <c r="I153" s="362">
        <f>#N/A</f>
        <v>1.0927567567567567</v>
      </c>
      <c r="J153" s="360">
        <f>#N/A</f>
        <v>-564.84</v>
      </c>
      <c r="K153" s="362">
        <f>#N/A</f>
        <v>0.26357235984354627</v>
      </c>
      <c r="L153" s="360">
        <f>#N/A</f>
        <v>0</v>
      </c>
      <c r="M153" s="360">
        <f>#N/A</f>
        <v>0</v>
      </c>
      <c r="N153" s="360">
        <f>#N/A</f>
        <v>0</v>
      </c>
      <c r="O153" s="360">
        <f>#N/A</f>
        <v>710.04</v>
      </c>
      <c r="P153" s="360">
        <f>#N/A</f>
        <v>56.960000000000036</v>
      </c>
      <c r="Q153" s="362">
        <f>#N/A</f>
        <v>1.0802208326291478</v>
      </c>
      <c r="R153" s="360">
        <f>#N/A</f>
        <v>135.2</v>
      </c>
      <c r="S153" s="360">
        <f>#N/A</f>
        <v>66.96000000000001</v>
      </c>
      <c r="T153" s="362">
        <f>#N/A</f>
        <v>1.4952662721893493</v>
      </c>
      <c r="U153" s="360">
        <f>#N/A</f>
        <v>64</v>
      </c>
      <c r="V153" s="360">
        <f>#N/A</f>
        <v>80.47</v>
      </c>
      <c r="W153" s="360">
        <f>#N/A</f>
        <v>16.47</v>
      </c>
      <c r="X153" s="362">
        <f>#N/A</f>
        <v>1.25734375</v>
      </c>
      <c r="Y153" s="446">
        <f>#N/A</f>
        <v>0.41504543956020146</v>
      </c>
    </row>
    <row r="154" spans="2:25" ht="30.75" hidden="1">
      <c r="B154" s="358" t="s">
        <v>90</v>
      </c>
      <c r="C154" s="359">
        <v>22012900</v>
      </c>
      <c r="D154" s="360">
        <f>D64</f>
        <v>44</v>
      </c>
      <c r="E154" s="360">
        <f>#N/A</f>
        <v>44</v>
      </c>
      <c r="F154" s="360">
        <f>#N/A</f>
        <v>8</v>
      </c>
      <c r="G154" s="360">
        <f>#N/A</f>
        <v>7.76</v>
      </c>
      <c r="H154" s="360">
        <f>#N/A</f>
        <v>-0.2400000000000002</v>
      </c>
      <c r="I154" s="362">
        <f>#N/A</f>
        <v>0.97</v>
      </c>
      <c r="J154" s="360">
        <f>#N/A</f>
        <v>-36.24</v>
      </c>
      <c r="K154" s="362">
        <f>#N/A</f>
        <v>0.17636363636363636</v>
      </c>
      <c r="L154" s="360">
        <f>#N/A</f>
        <v>0</v>
      </c>
      <c r="M154" s="360">
        <f>#N/A</f>
        <v>0</v>
      </c>
      <c r="N154" s="360">
        <f>#N/A</f>
        <v>0</v>
      </c>
      <c r="O154" s="360">
        <f>#N/A</f>
        <v>41.44</v>
      </c>
      <c r="P154" s="360">
        <f>#N/A</f>
        <v>2.5600000000000023</v>
      </c>
      <c r="Q154" s="362">
        <f>#N/A</f>
        <v>1.0617760617760619</v>
      </c>
      <c r="R154" s="360">
        <f>#N/A</f>
        <v>4</v>
      </c>
      <c r="S154" s="360">
        <f>#N/A</f>
        <v>3.76</v>
      </c>
      <c r="T154" s="362">
        <f>#N/A</f>
        <v>1.94</v>
      </c>
      <c r="U154" s="360">
        <f>#N/A</f>
        <v>4</v>
      </c>
      <c r="V154" s="360">
        <f>#N/A</f>
        <v>1.0599999999999996</v>
      </c>
      <c r="W154" s="360">
        <f>#N/A</f>
        <v>-2.9400000000000004</v>
      </c>
      <c r="X154" s="362">
        <f>#N/A</f>
        <v>0.2649999999999999</v>
      </c>
      <c r="Y154" s="446">
        <f>#N/A</f>
        <v>0.8782239382239381</v>
      </c>
    </row>
    <row r="155" spans="2:25" ht="15" hidden="1">
      <c r="B155" s="354" t="s">
        <v>183</v>
      </c>
      <c r="C155" s="365">
        <v>22010000</v>
      </c>
      <c r="D155" s="351">
        <f>SUM(D150:D154)</f>
        <v>23355</v>
      </c>
      <c r="E155" s="351">
        <f>#N/A</f>
        <v>23355</v>
      </c>
      <c r="F155" s="351">
        <f>#N/A</f>
        <v>6167</v>
      </c>
      <c r="G155" s="351">
        <f>#N/A</f>
        <v>6692.19</v>
      </c>
      <c r="H155" s="351">
        <f>#N/A</f>
        <v>525.1899999999996</v>
      </c>
      <c r="I155" s="189">
        <f>G155/F155</f>
        <v>1.085161342630128</v>
      </c>
      <c r="J155" s="351">
        <f>#N/A</f>
        <v>-16662.81</v>
      </c>
      <c r="K155" s="189">
        <f>G155/E155</f>
        <v>0.28654206807964033</v>
      </c>
      <c r="L155" s="351">
        <f>#N/A</f>
        <v>0</v>
      </c>
      <c r="M155" s="351">
        <f>#N/A</f>
        <v>0</v>
      </c>
      <c r="N155" s="351">
        <f>#N/A</f>
        <v>0</v>
      </c>
      <c r="O155" s="351">
        <f>#N/A</f>
        <v>22090.14</v>
      </c>
      <c r="P155" s="351">
        <f>#N/A</f>
        <v>1264.8600000000006</v>
      </c>
      <c r="Q155" s="189">
        <f>E155/O155</f>
        <v>1.0572590304995804</v>
      </c>
      <c r="R155" s="351">
        <f>#N/A</f>
        <v>4025.0899999999997</v>
      </c>
      <c r="S155" s="351">
        <f>#N/A</f>
        <v>2667.1</v>
      </c>
      <c r="T155" s="189">
        <f>G155/R155</f>
        <v>1.6626187240533752</v>
      </c>
      <c r="U155" s="351">
        <f>#N/A</f>
        <v>1968</v>
      </c>
      <c r="V155" s="351">
        <f>#N/A</f>
        <v>2431.189999999999</v>
      </c>
      <c r="W155" s="351">
        <f>#N/A</f>
        <v>463.18999999999954</v>
      </c>
      <c r="X155" s="189">
        <f>V155/U155</f>
        <v>1.2353607723577231</v>
      </c>
      <c r="Y155" s="189">
        <f>#N/A</f>
        <v>0.6053596935537948</v>
      </c>
    </row>
    <row r="156" spans="4:25" ht="15" hidden="1">
      <c r="D156" s="4"/>
      <c r="F156" s="78"/>
      <c r="G156" s="4"/>
      <c r="Y156" s="189"/>
    </row>
    <row r="157" spans="4:25" ht="15" hidden="1">
      <c r="D157" s="4"/>
      <c r="F157" s="78"/>
      <c r="G157" s="4"/>
      <c r="Y157" s="189"/>
    </row>
    <row r="158" spans="2:25" ht="15" hidden="1">
      <c r="B158" s="354" t="s">
        <v>184</v>
      </c>
      <c r="D158" s="4"/>
      <c r="F158" s="78"/>
      <c r="G158" s="4"/>
      <c r="Y158" s="189"/>
    </row>
    <row r="159" spans="2:25" ht="15" hidden="1">
      <c r="B159" s="366" t="s">
        <v>13</v>
      </c>
      <c r="C159" s="322" t="s">
        <v>19</v>
      </c>
      <c r="D159" s="348">
        <f>D72</f>
        <v>8170</v>
      </c>
      <c r="E159" s="348">
        <f>#N/A</f>
        <v>8170</v>
      </c>
      <c r="F159" s="348">
        <f>#N/A</f>
        <v>1928.65</v>
      </c>
      <c r="G159" s="348">
        <f>#N/A</f>
        <v>1498.7</v>
      </c>
      <c r="H159" s="348">
        <f>#N/A</f>
        <v>-429.95000000000005</v>
      </c>
      <c r="I159" s="347">
        <f>#N/A</f>
        <v>0.7770720452129728</v>
      </c>
      <c r="J159" s="348">
        <f>#N/A</f>
        <v>-6671.3</v>
      </c>
      <c r="K159" s="347">
        <f>#N/A</f>
        <v>0.18343941248470014</v>
      </c>
      <c r="L159" s="348">
        <f>#N/A</f>
        <v>0</v>
      </c>
      <c r="M159" s="348">
        <f>#N/A</f>
        <v>0</v>
      </c>
      <c r="N159" s="348">
        <f>#N/A</f>
        <v>0</v>
      </c>
      <c r="O159" s="348">
        <f>#N/A</f>
        <v>8086.92</v>
      </c>
      <c r="P159" s="348">
        <f>#N/A</f>
        <v>83.07999999999993</v>
      </c>
      <c r="Q159" s="347">
        <f>#N/A</f>
        <v>1.0102733797292418</v>
      </c>
      <c r="R159" s="348">
        <f>#N/A</f>
        <v>3075.73</v>
      </c>
      <c r="S159" s="348">
        <f>#N/A</f>
        <v>-1577.03</v>
      </c>
      <c r="T159" s="347">
        <f>#N/A</f>
        <v>0.48726643756116433</v>
      </c>
      <c r="U159" s="348">
        <f>#N/A</f>
        <v>680</v>
      </c>
      <c r="V159" s="348">
        <f>#N/A</f>
        <v>426.54999999999995</v>
      </c>
      <c r="W159" s="348">
        <f>#N/A</f>
        <v>-253.45000000000005</v>
      </c>
      <c r="X159" s="347">
        <f>#N/A</f>
        <v>0.6272794117647058</v>
      </c>
      <c r="Y159" s="189">
        <f>#N/A</f>
        <v>-0.5230069421680774</v>
      </c>
    </row>
    <row r="160" spans="2:25" ht="46.5" hidden="1">
      <c r="B160" s="366" t="s">
        <v>38</v>
      </c>
      <c r="C160" s="322">
        <v>24061900</v>
      </c>
      <c r="D160" s="348">
        <f>D76</f>
        <v>174.4</v>
      </c>
      <c r="E160" s="348">
        <f>#N/A</f>
        <v>174.4</v>
      </c>
      <c r="F160" s="348">
        <f>#N/A</f>
        <v>0</v>
      </c>
      <c r="G160" s="348">
        <f>#N/A</f>
        <v>0</v>
      </c>
      <c r="H160" s="348">
        <f>#N/A</f>
        <v>0</v>
      </c>
      <c r="I160" s="347" t="e">
        <f>#N/A</f>
        <v>#DIV/0!</v>
      </c>
      <c r="J160" s="348">
        <f>#N/A</f>
        <v>-174.4</v>
      </c>
      <c r="K160" s="347">
        <f>#N/A</f>
        <v>0</v>
      </c>
      <c r="L160" s="348">
        <f>#N/A</f>
        <v>0</v>
      </c>
      <c r="M160" s="348">
        <f>#N/A</f>
        <v>0</v>
      </c>
      <c r="N160" s="348">
        <f>#N/A</f>
        <v>0</v>
      </c>
      <c r="O160" s="348">
        <f>#N/A</f>
        <v>142.18</v>
      </c>
      <c r="P160" s="348">
        <f>#N/A</f>
        <v>32.22</v>
      </c>
      <c r="Q160" s="347">
        <f>#N/A</f>
        <v>1.2266141510761006</v>
      </c>
      <c r="R160" s="348">
        <f>#N/A</f>
        <v>32.89</v>
      </c>
      <c r="S160" s="348">
        <f>#N/A</f>
        <v>-32.89</v>
      </c>
      <c r="T160" s="347">
        <f>#N/A</f>
        <v>0</v>
      </c>
      <c r="U160" s="348">
        <f>#N/A</f>
        <v>0</v>
      </c>
      <c r="V160" s="348">
        <f>#N/A</f>
        <v>0</v>
      </c>
      <c r="W160" s="348">
        <f>#N/A</f>
        <v>0</v>
      </c>
      <c r="X160" s="347" t="e">
        <f>#N/A</f>
        <v>#DIV/0!</v>
      </c>
      <c r="Y160" s="189">
        <f>#N/A</f>
        <v>-1.2266141510761006</v>
      </c>
    </row>
    <row r="161" spans="2:25" ht="15" hidden="1">
      <c r="B161" s="354" t="s">
        <v>184</v>
      </c>
      <c r="C161" s="370">
        <v>24060000</v>
      </c>
      <c r="D161" s="351">
        <f>SUM(D159:D160)</f>
        <v>8344.4</v>
      </c>
      <c r="E161" s="351">
        <f>#N/A</f>
        <v>8344.4</v>
      </c>
      <c r="F161" s="351">
        <f>#N/A</f>
        <v>1928.65</v>
      </c>
      <c r="G161" s="351">
        <f>#N/A</f>
        <v>1498.7</v>
      </c>
      <c r="H161" s="351">
        <f>#N/A</f>
        <v>-429.95000000000005</v>
      </c>
      <c r="I161" s="189">
        <f>G161/F161</f>
        <v>0.7770720452129728</v>
      </c>
      <c r="J161" s="351">
        <f>#N/A</f>
        <v>-6845.7</v>
      </c>
      <c r="K161" s="189">
        <f>G161/E161</f>
        <v>0.17960548391735776</v>
      </c>
      <c r="L161" s="351">
        <f>#N/A</f>
        <v>0</v>
      </c>
      <c r="M161" s="351">
        <f>#N/A</f>
        <v>0</v>
      </c>
      <c r="N161" s="351">
        <f>#N/A</f>
        <v>0</v>
      </c>
      <c r="O161" s="351">
        <f>#N/A</f>
        <v>8229.1</v>
      </c>
      <c r="P161" s="351">
        <f>#N/A</f>
        <v>115.29999999999993</v>
      </c>
      <c r="Q161" s="189">
        <f>E161/O161</f>
        <v>1.0140112527493892</v>
      </c>
      <c r="R161" s="351">
        <f>#N/A</f>
        <v>3108.62</v>
      </c>
      <c r="S161" s="351">
        <f>#N/A</f>
        <v>-1609.92</v>
      </c>
      <c r="T161" s="189">
        <f>G161/R161</f>
        <v>0.482111033191577</v>
      </c>
      <c r="U161" s="351">
        <f>#N/A</f>
        <v>680</v>
      </c>
      <c r="V161" s="351">
        <f>#N/A</f>
        <v>426.54999999999995</v>
      </c>
      <c r="W161" s="351">
        <f>#N/A</f>
        <v>-253.45000000000005</v>
      </c>
      <c r="X161" s="189">
        <f>V161/U161</f>
        <v>0.6272794117647058</v>
      </c>
      <c r="Y161" s="189">
        <f>#N/A</f>
        <v>-0.5319002195578122</v>
      </c>
    </row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</sheetData>
  <sheetProtection/>
  <mergeCells count="30"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  <mergeCell ref="F4:F5"/>
    <mergeCell ref="G4:G5"/>
    <mergeCell ref="H4:H5"/>
    <mergeCell ref="I4:I5"/>
    <mergeCell ref="J4:J5"/>
    <mergeCell ref="K4:K5"/>
    <mergeCell ref="V4:V5"/>
    <mergeCell ref="W4:W5"/>
    <mergeCell ref="X4:X5"/>
    <mergeCell ref="L5:N5"/>
    <mergeCell ref="O5:Q5"/>
    <mergeCell ref="R5:T5"/>
    <mergeCell ref="B111:C111"/>
    <mergeCell ref="G111:H111"/>
    <mergeCell ref="G106:H106"/>
    <mergeCell ref="G107:H107"/>
    <mergeCell ref="G108:H108"/>
    <mergeCell ref="B109:C109"/>
    <mergeCell ref="G109:H109"/>
    <mergeCell ref="G110:H110"/>
  </mergeCells>
  <printOptions/>
  <pageMargins left="0" right="0" top="0" bottom="0" header="0" footer="0"/>
  <pageSetup fitToHeight="1" fitToWidth="1" orientation="portrait" paperSize="9" scale="2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61"/>
  <sheetViews>
    <sheetView zoomScale="78" zoomScaleNormal="78" zoomScalePageLayoutView="0" workbookViewId="0" topLeftCell="B1">
      <pane xSplit="2" ySplit="8" topLeftCell="O1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W22" sqref="W2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4" width="11.75390625" style="4" customWidth="1"/>
    <col min="15" max="15" width="14.00390625" style="4" customWidth="1"/>
    <col min="16" max="16" width="13.125" style="4" customWidth="1"/>
    <col min="17" max="17" width="11.875" style="163" customWidth="1"/>
    <col min="18" max="18" width="13.625" style="4" customWidth="1"/>
    <col min="19" max="19" width="12.25390625" style="4" customWidth="1"/>
    <col min="20" max="20" width="14.25390625" style="4" customWidth="1"/>
    <col min="21" max="21" width="12.00390625" style="4" customWidth="1"/>
    <col min="22" max="22" width="12.25390625" style="4" customWidth="1"/>
    <col min="23" max="23" width="12.625" style="4" customWidth="1"/>
    <col min="24" max="24" width="12.75390625" style="4" customWidth="1"/>
    <col min="25" max="25" width="12.50390625" style="186" customWidth="1"/>
    <col min="26" max="26" width="9.125" style="4" customWidth="1"/>
    <col min="27" max="16384" width="9.125" style="4" customWidth="1"/>
  </cols>
  <sheetData>
    <row r="1" spans="1:25" s="1" customFormat="1" ht="26.25" customHeight="1">
      <c r="A1" s="504" t="s">
        <v>213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186"/>
    </row>
    <row r="2" spans="2:25" s="1" customFormat="1" ht="15.75" customHeight="1">
      <c r="B2" s="470"/>
      <c r="C2" s="470"/>
      <c r="D2" s="470"/>
      <c r="E2" s="470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71"/>
      <c r="B3" s="473"/>
      <c r="C3" s="474" t="s">
        <v>0</v>
      </c>
      <c r="D3" s="475" t="s">
        <v>131</v>
      </c>
      <c r="E3" s="475" t="s">
        <v>131</v>
      </c>
      <c r="F3" s="25"/>
      <c r="G3" s="476" t="s">
        <v>26</v>
      </c>
      <c r="H3" s="477"/>
      <c r="I3" s="477"/>
      <c r="J3" s="477"/>
      <c r="K3" s="478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479" t="s">
        <v>141</v>
      </c>
      <c r="V3" s="482" t="s">
        <v>136</v>
      </c>
      <c r="W3" s="482"/>
      <c r="X3" s="482"/>
      <c r="Y3" s="194"/>
    </row>
    <row r="4" spans="1:24" ht="22.5" customHeight="1">
      <c r="A4" s="471"/>
      <c r="B4" s="473"/>
      <c r="C4" s="474"/>
      <c r="D4" s="475"/>
      <c r="E4" s="475"/>
      <c r="F4" s="483" t="s">
        <v>139</v>
      </c>
      <c r="G4" s="485" t="s">
        <v>31</v>
      </c>
      <c r="H4" s="487" t="s">
        <v>129</v>
      </c>
      <c r="I4" s="480" t="s">
        <v>130</v>
      </c>
      <c r="J4" s="487" t="s">
        <v>132</v>
      </c>
      <c r="K4" s="480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0"/>
      <c r="V4" s="489" t="s">
        <v>214</v>
      </c>
      <c r="W4" s="487" t="s">
        <v>44</v>
      </c>
      <c r="X4" s="491" t="s">
        <v>43</v>
      </c>
    </row>
    <row r="5" spans="1:24" ht="67.5" customHeight="1">
      <c r="A5" s="472"/>
      <c r="B5" s="473"/>
      <c r="C5" s="474"/>
      <c r="D5" s="475"/>
      <c r="E5" s="475"/>
      <c r="F5" s="484"/>
      <c r="G5" s="486"/>
      <c r="H5" s="488"/>
      <c r="I5" s="481"/>
      <c r="J5" s="488"/>
      <c r="K5" s="481"/>
      <c r="L5" s="492" t="s">
        <v>135</v>
      </c>
      <c r="M5" s="493"/>
      <c r="N5" s="494"/>
      <c r="O5" s="495" t="s">
        <v>210</v>
      </c>
      <c r="P5" s="496"/>
      <c r="Q5" s="497"/>
      <c r="R5" s="498" t="s">
        <v>209</v>
      </c>
      <c r="S5" s="498"/>
      <c r="T5" s="498"/>
      <c r="U5" s="481"/>
      <c r="V5" s="490"/>
      <c r="W5" s="488"/>
      <c r="X5" s="491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241761.439</v>
      </c>
      <c r="G8" s="103">
        <f>G9+G15+G18+G19+G23+G17</f>
        <v>241891.91999999998</v>
      </c>
      <c r="H8" s="103">
        <f>G8-F8</f>
        <v>130.48099999997066</v>
      </c>
      <c r="I8" s="210">
        <f>#N/A</f>
        <v>1.0005397097259996</v>
      </c>
      <c r="J8" s="104">
        <f>#N/A</f>
        <v>-1338741.8800000001</v>
      </c>
      <c r="K8" s="156">
        <f>#N/A</f>
        <v>0.1530347636498726</v>
      </c>
      <c r="L8" s="104"/>
      <c r="M8" s="104"/>
      <c r="N8" s="104"/>
      <c r="O8" s="104">
        <v>1329586.12</v>
      </c>
      <c r="P8" s="104">
        <f>#N/A</f>
        <v>251047.67999999993</v>
      </c>
      <c r="Q8" s="156">
        <f>#N/A</f>
        <v>1.188816411531131</v>
      </c>
      <c r="R8" s="103">
        <v>194831.46</v>
      </c>
      <c r="S8" s="103">
        <f>#N/A</f>
        <v>47060.45999999999</v>
      </c>
      <c r="T8" s="143">
        <f>#N/A</f>
        <v>1.2415444610434063</v>
      </c>
      <c r="U8" s="103">
        <f>U9+U15+U18+U19+U23+U17</f>
        <v>129734.42000000001</v>
      </c>
      <c r="V8" s="103">
        <f>V9+V15+V18+V19+V23+V17</f>
        <v>129864.91</v>
      </c>
      <c r="W8" s="103">
        <f>V8-U8</f>
        <v>130.4899999999907</v>
      </c>
      <c r="X8" s="143">
        <f>#N/A</f>
        <v>1.0010058240519362</v>
      </c>
      <c r="Y8" s="199">
        <f>#N/A</f>
        <v>0.05272804951227528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v>956203</v>
      </c>
      <c r="F9" s="102">
        <f>131692.339+7300</f>
        <v>138992.339</v>
      </c>
      <c r="G9" s="106">
        <v>140078.87</v>
      </c>
      <c r="H9" s="102">
        <f>G9-F9</f>
        <v>1086.5309999999881</v>
      </c>
      <c r="I9" s="208">
        <f>#N/A</f>
        <v>1.0078172006300288</v>
      </c>
      <c r="J9" s="108">
        <f>#N/A</f>
        <v>-816124.13</v>
      </c>
      <c r="K9" s="148">
        <f>#N/A</f>
        <v>0.1464949074621184</v>
      </c>
      <c r="L9" s="108"/>
      <c r="M9" s="108"/>
      <c r="N9" s="108"/>
      <c r="O9" s="108">
        <v>775821.8</v>
      </c>
      <c r="P9" s="108">
        <f>#N/A</f>
        <v>180381.19999999995</v>
      </c>
      <c r="Q9" s="148">
        <f>#N/A</f>
        <v>1.2325033918871575</v>
      </c>
      <c r="R9" s="161">
        <v>101885.94</v>
      </c>
      <c r="S9" s="109">
        <f>#N/A</f>
        <v>38192.92999999999</v>
      </c>
      <c r="T9" s="144">
        <f>#N/A</f>
        <v>1.3748596715111034</v>
      </c>
      <c r="U9" s="107">
        <f>F9-січень!F9</f>
        <v>75163</v>
      </c>
      <c r="V9" s="110">
        <f>G9-січень!G9</f>
        <v>76249.57999999999</v>
      </c>
      <c r="W9" s="111">
        <f>V9-U9</f>
        <v>1086.5799999999872</v>
      </c>
      <c r="X9" s="148">
        <f>#N/A</f>
        <v>1.0144563149421921</v>
      </c>
      <c r="Y9" s="200">
        <f>#N/A</f>
        <v>0.14235627962394592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</f>
        <v>881803</v>
      </c>
      <c r="F10" s="71">
        <f>120478.7+7300</f>
        <v>127778.7</v>
      </c>
      <c r="G10" s="94">
        <v>127789.45</v>
      </c>
      <c r="H10" s="71">
        <f>#N/A</f>
        <v>10.75</v>
      </c>
      <c r="I10" s="209">
        <f>#N/A</f>
        <v>1.0000841298275847</v>
      </c>
      <c r="J10" s="72">
        <f>#N/A</f>
        <v>-754013.55</v>
      </c>
      <c r="K10" s="75">
        <f>#N/A</f>
        <v>0.1449183661203239</v>
      </c>
      <c r="L10" s="72"/>
      <c r="M10" s="72"/>
      <c r="N10" s="72"/>
      <c r="O10" s="72">
        <v>709899.75</v>
      </c>
      <c r="P10" s="72">
        <f>#N/A</f>
        <v>171903.25</v>
      </c>
      <c r="Q10" s="75">
        <f>#N/A</f>
        <v>1.2421514446229909</v>
      </c>
      <c r="R10" s="74">
        <v>92726.64</v>
      </c>
      <c r="S10" s="74">
        <f>#N/A</f>
        <v>35062.81</v>
      </c>
      <c r="T10" s="145">
        <f>#N/A</f>
        <v>1.3781309233247316</v>
      </c>
      <c r="U10" s="73">
        <f>F10-січень!F10</f>
        <v>68800</v>
      </c>
      <c r="V10" s="98">
        <f>G10-січень!G10</f>
        <v>68810.76</v>
      </c>
      <c r="W10" s="74">
        <f>#N/A</f>
        <v>10.759999999994761</v>
      </c>
      <c r="X10" s="75">
        <f>#N/A</f>
        <v>1.000156395348837</v>
      </c>
      <c r="Y10" s="198">
        <f>#N/A</f>
        <v>0.13597947870174076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7084.7</v>
      </c>
      <c r="G11" s="94">
        <v>7687.4</v>
      </c>
      <c r="H11" s="71">
        <f>#N/A</f>
        <v>602.6999999999998</v>
      </c>
      <c r="I11" s="209">
        <f>#N/A</f>
        <v>1.0850706451931627</v>
      </c>
      <c r="J11" s="72">
        <f>#N/A</f>
        <v>-42212.6</v>
      </c>
      <c r="K11" s="75">
        <f>#N/A</f>
        <v>0.1540561122244489</v>
      </c>
      <c r="L11" s="72"/>
      <c r="M11" s="72"/>
      <c r="N11" s="72"/>
      <c r="O11" s="72">
        <v>42516.41</v>
      </c>
      <c r="P11" s="72">
        <f>#N/A</f>
        <v>7383.5899999999965</v>
      </c>
      <c r="Q11" s="75">
        <f>#N/A</f>
        <v>1.1736644744934954</v>
      </c>
      <c r="R11" s="74">
        <v>5895.26</v>
      </c>
      <c r="S11" s="74">
        <f>#N/A</f>
        <v>1792.1399999999994</v>
      </c>
      <c r="T11" s="145">
        <f>#N/A</f>
        <v>1.3039967702866369</v>
      </c>
      <c r="U11" s="73">
        <f>F11-січень!F11</f>
        <v>3600</v>
      </c>
      <c r="V11" s="98">
        <f>G11-січень!G11</f>
        <v>4202.7</v>
      </c>
      <c r="W11" s="74">
        <f>#N/A</f>
        <v>602.6999999999998</v>
      </c>
      <c r="X11" s="75">
        <f>#N/A</f>
        <v>1.1674166666666665</v>
      </c>
      <c r="Y11" s="198">
        <f>#N/A</f>
        <v>0.13033229579314143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1464.409</v>
      </c>
      <c r="G12" s="94">
        <v>1592.92</v>
      </c>
      <c r="H12" s="71">
        <f>#N/A</f>
        <v>128.51099999999997</v>
      </c>
      <c r="I12" s="209">
        <f>#N/A</f>
        <v>1.087756221110359</v>
      </c>
      <c r="J12" s="72">
        <f>#N/A</f>
        <v>-10407.08</v>
      </c>
      <c r="K12" s="75">
        <f>#N/A</f>
        <v>0.13274333333333335</v>
      </c>
      <c r="L12" s="72"/>
      <c r="M12" s="72"/>
      <c r="N12" s="72"/>
      <c r="O12" s="72">
        <v>11992.15</v>
      </c>
      <c r="P12" s="72">
        <f>#N/A</f>
        <v>7.850000000000364</v>
      </c>
      <c r="Q12" s="75">
        <f>#N/A</f>
        <v>1.0006545948808179</v>
      </c>
      <c r="R12" s="74">
        <v>1037.42</v>
      </c>
      <c r="S12" s="74">
        <f>#N/A</f>
        <v>555.5</v>
      </c>
      <c r="T12" s="145">
        <f>#N/A</f>
        <v>1.5354629754583486</v>
      </c>
      <c r="U12" s="73">
        <f>F12-січень!F12</f>
        <v>720.0000000000001</v>
      </c>
      <c r="V12" s="98">
        <f>G12-січень!G12</f>
        <v>848.5300000000001</v>
      </c>
      <c r="W12" s="74">
        <f>#N/A</f>
        <v>128.52999999999997</v>
      </c>
      <c r="X12" s="75">
        <f>#N/A</f>
        <v>1.1785138888888889</v>
      </c>
      <c r="Y12" s="198">
        <f>#N/A</f>
        <v>0.5348083805775308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2485.9</v>
      </c>
      <c r="G13" s="94">
        <v>2701.47</v>
      </c>
      <c r="H13" s="71">
        <f>#N/A</f>
        <v>215.5699999999997</v>
      </c>
      <c r="I13" s="209">
        <f>#N/A</f>
        <v>1.0867170843557663</v>
      </c>
      <c r="J13" s="72">
        <f>#N/A</f>
        <v>-9298.53</v>
      </c>
      <c r="K13" s="75">
        <f>#N/A</f>
        <v>0.22512249999999998</v>
      </c>
      <c r="L13" s="72"/>
      <c r="M13" s="72"/>
      <c r="N13" s="72"/>
      <c r="O13" s="72">
        <v>10036.81</v>
      </c>
      <c r="P13" s="72">
        <f>#N/A</f>
        <v>1963.1900000000005</v>
      </c>
      <c r="Q13" s="75">
        <f>#N/A</f>
        <v>1.195599000080703</v>
      </c>
      <c r="R13" s="74">
        <v>2028.32</v>
      </c>
      <c r="S13" s="74">
        <f>#N/A</f>
        <v>673.1499999999999</v>
      </c>
      <c r="T13" s="145">
        <f>#N/A</f>
        <v>1.331875640924509</v>
      </c>
      <c r="U13" s="73">
        <f>F13-січень!F13</f>
        <v>2010</v>
      </c>
      <c r="V13" s="98">
        <f>G13-січень!G13</f>
        <v>2225.6</v>
      </c>
      <c r="W13" s="74">
        <f>#N/A</f>
        <v>215.5999999999999</v>
      </c>
      <c r="X13" s="75">
        <f>#N/A</f>
        <v>1.1072636815920398</v>
      </c>
      <c r="Y13" s="198">
        <f>#N/A</f>
        <v>0.13627664084380586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178.63</v>
      </c>
      <c r="G14" s="94">
        <v>307.62</v>
      </c>
      <c r="H14" s="71">
        <f>#N/A</f>
        <v>128.99</v>
      </c>
      <c r="I14" s="209">
        <f>#N/A</f>
        <v>1.7221071488551756</v>
      </c>
      <c r="J14" s="72">
        <f>#N/A</f>
        <v>-192.38</v>
      </c>
      <c r="K14" s="75">
        <f>#N/A</f>
        <v>0.61524</v>
      </c>
      <c r="L14" s="72"/>
      <c r="M14" s="72"/>
      <c r="N14" s="72"/>
      <c r="O14" s="72">
        <v>1376.68</v>
      </c>
      <c r="P14" s="72">
        <f>#N/A</f>
        <v>-876.6800000000001</v>
      </c>
      <c r="Q14" s="75">
        <f>#N/A</f>
        <v>0.36319260830403577</v>
      </c>
      <c r="R14" s="74">
        <v>198.31</v>
      </c>
      <c r="S14" s="74">
        <f>#N/A</f>
        <v>109.31</v>
      </c>
      <c r="T14" s="145">
        <f>#N/A</f>
        <v>1.551207705108164</v>
      </c>
      <c r="U14" s="73">
        <f>F14-січень!F14</f>
        <v>33</v>
      </c>
      <c r="V14" s="98">
        <f>G14-січень!G14</f>
        <v>161.99</v>
      </c>
      <c r="W14" s="74">
        <f>#N/A</f>
        <v>128.99</v>
      </c>
      <c r="X14" s="75">
        <f>#N/A</f>
        <v>4.908787878787879</v>
      </c>
      <c r="Y14" s="198">
        <f>#N/A</f>
        <v>1.1880150968041283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10</v>
      </c>
      <c r="G15" s="106">
        <v>119.53</v>
      </c>
      <c r="H15" s="102">
        <f>#N/A</f>
        <v>109.53</v>
      </c>
      <c r="I15" s="208">
        <f>#N/A</f>
        <v>11.953</v>
      </c>
      <c r="J15" s="108">
        <f>#N/A</f>
        <v>-780.47</v>
      </c>
      <c r="K15" s="108">
        <f>#N/A</f>
        <v>13.28111111111111</v>
      </c>
      <c r="L15" s="108"/>
      <c r="M15" s="108"/>
      <c r="N15" s="108"/>
      <c r="O15" s="108">
        <v>887.61</v>
      </c>
      <c r="P15" s="108">
        <f>#N/A</f>
        <v>12.389999999999986</v>
      </c>
      <c r="Q15" s="148">
        <f>#N/A</f>
        <v>1.0139588332713692</v>
      </c>
      <c r="R15" s="111">
        <v>13.91</v>
      </c>
      <c r="S15" s="111">
        <f>#N/A</f>
        <v>105.62</v>
      </c>
      <c r="T15" s="146">
        <f>#N/A</f>
        <v>8.593098490294752</v>
      </c>
      <c r="U15" s="107">
        <f>F15-січень!F15</f>
        <v>10</v>
      </c>
      <c r="V15" s="110">
        <f>G15-січень!G15</f>
        <v>119.53</v>
      </c>
      <c r="W15" s="111">
        <f>#N/A</f>
        <v>109.53</v>
      </c>
      <c r="X15" s="148">
        <f>#N/A</f>
        <v>11.953</v>
      </c>
      <c r="Y15" s="197">
        <f>#N/A</f>
        <v>7.579139657023383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>#N/A</f>
        <v>0</v>
      </c>
      <c r="I16" s="208" t="e">
        <f>G16/F16/100</f>
        <v>#DIV/0!</v>
      </c>
      <c r="J16" s="108">
        <f>#N/A</f>
        <v>0</v>
      </c>
      <c r="K16" s="108" t="e">
        <f>#N/A</f>
        <v>#DIV/0!</v>
      </c>
      <c r="L16" s="108"/>
      <c r="M16" s="108"/>
      <c r="N16" s="108"/>
      <c r="O16" s="108"/>
      <c r="P16" s="108">
        <f>#N/A</f>
        <v>0</v>
      </c>
      <c r="Q16" s="148" t="e">
        <f>#N/A</f>
        <v>#DIV/0!</v>
      </c>
      <c r="R16" s="111">
        <f>O16</f>
        <v>0</v>
      </c>
      <c r="S16" s="111">
        <f>#N/A</f>
        <v>0</v>
      </c>
      <c r="T16" s="146" t="e">
        <f>#N/A</f>
        <v>#DIV/0!</v>
      </c>
      <c r="U16" s="107">
        <f>F16-січень!F16</f>
        <v>0</v>
      </c>
      <c r="V16" s="110">
        <f>G16-січень!G16</f>
        <v>0</v>
      </c>
      <c r="W16" s="111">
        <f>#N/A</f>
        <v>0</v>
      </c>
      <c r="X16" s="148" t="e">
        <f>V16/U16*100</f>
        <v>#DIV/0!</v>
      </c>
      <c r="Y16" s="197" t="e">
        <f>#N/A</f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>#N/A</f>
        <v>0</v>
      </c>
      <c r="I17" s="208"/>
      <c r="J17" s="108">
        <f>#N/A</f>
        <v>0</v>
      </c>
      <c r="K17" s="108"/>
      <c r="L17" s="108"/>
      <c r="M17" s="108"/>
      <c r="N17" s="108"/>
      <c r="O17" s="108">
        <v>0.49</v>
      </c>
      <c r="P17" s="108">
        <f>#N/A</f>
        <v>-0.49</v>
      </c>
      <c r="Q17" s="148">
        <f>#N/A</f>
        <v>0</v>
      </c>
      <c r="R17" s="111">
        <v>0</v>
      </c>
      <c r="S17" s="111">
        <f>#N/A</f>
        <v>0</v>
      </c>
      <c r="T17" s="146" t="e">
        <f>#N/A</f>
        <v>#DIV/0!</v>
      </c>
      <c r="U17" s="107">
        <f>F17-січень!F17</f>
        <v>0</v>
      </c>
      <c r="V17" s="110">
        <f>G17-січень!G17</f>
        <v>0</v>
      </c>
      <c r="W17" s="111">
        <f>#N/A</f>
        <v>0</v>
      </c>
      <c r="X17" s="148"/>
      <c r="Y17" s="197" t="e">
        <f>#N/A</f>
        <v>#DIV/0!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120</v>
      </c>
      <c r="G18" s="106">
        <v>194.24</v>
      </c>
      <c r="H18" s="102">
        <f>#N/A</f>
        <v>74.24000000000001</v>
      </c>
      <c r="I18" s="208">
        <f>#N/A</f>
        <v>1.6186666666666667</v>
      </c>
      <c r="J18" s="108">
        <f>#N/A</f>
        <v>-41.359999999999985</v>
      </c>
      <c r="K18" s="108">
        <f>#N/A</f>
        <v>82.44482173174873</v>
      </c>
      <c r="L18" s="108"/>
      <c r="M18" s="108"/>
      <c r="N18" s="108"/>
      <c r="O18" s="108">
        <v>220.59</v>
      </c>
      <c r="P18" s="108">
        <f>#N/A</f>
        <v>15.009999999999991</v>
      </c>
      <c r="Q18" s="148">
        <f>#N/A</f>
        <v>1.0680447889750215</v>
      </c>
      <c r="R18" s="111">
        <v>0</v>
      </c>
      <c r="S18" s="111">
        <f>#N/A</f>
        <v>194.24</v>
      </c>
      <c r="T18" s="146" t="e">
        <f>#N/A</f>
        <v>#DIV/0!</v>
      </c>
      <c r="U18" s="107">
        <f>F18-січень!F18</f>
        <v>120</v>
      </c>
      <c r="V18" s="110">
        <f>G18-січень!G18</f>
        <v>194.24</v>
      </c>
      <c r="W18" s="111">
        <f>#N/A</f>
        <v>74.24000000000001</v>
      </c>
      <c r="X18" s="148">
        <f>#N/A</f>
        <v>1.6186666666666667</v>
      </c>
      <c r="Y18" s="197" t="e">
        <f>#N/A</f>
        <v>#DIV/0!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f>F20+F21+F22</f>
        <v>9066</v>
      </c>
      <c r="G19" s="158">
        <v>8528.57</v>
      </c>
      <c r="H19" s="102">
        <f>#N/A</f>
        <v>-537.4300000000003</v>
      </c>
      <c r="I19" s="208">
        <f>#N/A</f>
        <v>0.9407202735495257</v>
      </c>
      <c r="J19" s="108">
        <f>#N/A</f>
        <v>-143199.43</v>
      </c>
      <c r="K19" s="108">
        <f>#N/A</f>
        <v>5.620959875566803</v>
      </c>
      <c r="L19" s="108"/>
      <c r="M19" s="108"/>
      <c r="N19" s="108"/>
      <c r="O19" s="108">
        <v>121950.14</v>
      </c>
      <c r="P19" s="108">
        <f>#N/A</f>
        <v>29777.86</v>
      </c>
      <c r="Q19" s="148">
        <f>#N/A</f>
        <v>1.2441806134867905</v>
      </c>
      <c r="R19" s="111">
        <v>13705.91</v>
      </c>
      <c r="S19" s="111">
        <f>#N/A</f>
        <v>-5177.34</v>
      </c>
      <c r="T19" s="146">
        <f>#N/A</f>
        <v>0.6222549250651725</v>
      </c>
      <c r="U19" s="107">
        <f>F19-січень!F19</f>
        <v>4076.42</v>
      </c>
      <c r="V19" s="110">
        <f>G19-січень!G19</f>
        <v>3538.99</v>
      </c>
      <c r="W19" s="111">
        <f>#N/A</f>
        <v>-537.4300000000003</v>
      </c>
      <c r="X19" s="148">
        <f>#N/A</f>
        <v>0.868161278769116</v>
      </c>
      <c r="Y19" s="197">
        <f>#N/A</f>
        <v>-0.621925688421618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9066</v>
      </c>
      <c r="G20" s="141">
        <v>8528.57</v>
      </c>
      <c r="H20" s="170">
        <f>#N/A</f>
        <v>-537.4300000000003</v>
      </c>
      <c r="I20" s="211">
        <f>#N/A</f>
        <v>0.9407202735495257</v>
      </c>
      <c r="J20" s="171">
        <f>#N/A</f>
        <v>-58179.43</v>
      </c>
      <c r="K20" s="171">
        <f>#N/A</f>
        <v>12.784928344426454</v>
      </c>
      <c r="L20" s="171"/>
      <c r="M20" s="171"/>
      <c r="N20" s="171"/>
      <c r="O20" s="171">
        <v>60736.45</v>
      </c>
      <c r="P20" s="171">
        <f>#N/A</f>
        <v>5971.550000000003</v>
      </c>
      <c r="Q20" s="180">
        <f>#N/A</f>
        <v>1.098319048940134</v>
      </c>
      <c r="R20" s="116">
        <v>13705.91</v>
      </c>
      <c r="S20" s="116">
        <f>#N/A</f>
        <v>-5177.34</v>
      </c>
      <c r="T20" s="172">
        <f>#N/A</f>
        <v>0.6222549250651725</v>
      </c>
      <c r="U20" s="136">
        <f>F20-січень!F20</f>
        <v>4076.42</v>
      </c>
      <c r="V20" s="124">
        <f>G20-січень!G20</f>
        <v>3538.99</v>
      </c>
      <c r="W20" s="116">
        <f>#N/A</f>
        <v>-537.4300000000003</v>
      </c>
      <c r="X20" s="180">
        <f>#N/A</f>
        <v>0.868161278769116</v>
      </c>
      <c r="Y20" s="197">
        <f>#N/A</f>
        <v>-0.47606412387496144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0</v>
      </c>
      <c r="G21" s="141">
        <v>0</v>
      </c>
      <c r="H21" s="170">
        <f>#N/A</f>
        <v>0</v>
      </c>
      <c r="I21" s="211" t="e">
        <f>#N/A</f>
        <v>#DIV/0!</v>
      </c>
      <c r="J21" s="171">
        <f>#N/A</f>
        <v>-15696</v>
      </c>
      <c r="K21" s="171">
        <f>#N/A</f>
        <v>0</v>
      </c>
      <c r="L21" s="171"/>
      <c r="M21" s="171"/>
      <c r="N21" s="171"/>
      <c r="O21" s="171">
        <v>12528.71</v>
      </c>
      <c r="P21" s="171">
        <f>#N/A</f>
        <v>3167.290000000001</v>
      </c>
      <c r="Q21" s="180">
        <f>#N/A</f>
        <v>1.2528025630731336</v>
      </c>
      <c r="R21" s="116">
        <v>0</v>
      </c>
      <c r="S21" s="116">
        <f>#N/A</f>
        <v>0</v>
      </c>
      <c r="T21" s="172" t="e">
        <f>#N/A</f>
        <v>#DIV/0!</v>
      </c>
      <c r="U21" s="136">
        <f>F21-січень!F21</f>
        <v>0</v>
      </c>
      <c r="V21" s="124">
        <f>G21-січень!G21</f>
        <v>0</v>
      </c>
      <c r="W21" s="116">
        <f>#N/A</f>
        <v>0</v>
      </c>
      <c r="X21" s="180" t="e">
        <f>#N/A</f>
        <v>#DIV/0!</v>
      </c>
      <c r="Y21" s="197" t="e">
        <f>#N/A</f>
        <v>#DIV/0!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0</v>
      </c>
      <c r="G22" s="141">
        <v>0</v>
      </c>
      <c r="H22" s="170">
        <f>#N/A</f>
        <v>0</v>
      </c>
      <c r="I22" s="211" t="e">
        <f>#N/A</f>
        <v>#DIV/0!</v>
      </c>
      <c r="J22" s="171">
        <f>#N/A</f>
        <v>-69324</v>
      </c>
      <c r="K22" s="171">
        <f>#N/A</f>
        <v>0</v>
      </c>
      <c r="L22" s="171"/>
      <c r="M22" s="171"/>
      <c r="N22" s="171"/>
      <c r="O22" s="171">
        <v>48684.98</v>
      </c>
      <c r="P22" s="171">
        <f>#N/A</f>
        <v>20639.019999999997</v>
      </c>
      <c r="Q22" s="180">
        <f>#N/A</f>
        <v>1.4239299266426728</v>
      </c>
      <c r="R22" s="116">
        <v>0</v>
      </c>
      <c r="S22" s="116">
        <f>#N/A</f>
        <v>0</v>
      </c>
      <c r="T22" s="172" t="e">
        <f>#N/A</f>
        <v>#DIV/0!</v>
      </c>
      <c r="U22" s="136">
        <f>F22-січень!F22</f>
        <v>0</v>
      </c>
      <c r="V22" s="124">
        <f>G22-січень!G22</f>
        <v>0</v>
      </c>
      <c r="W22" s="116">
        <f>#N/A</f>
        <v>0</v>
      </c>
      <c r="X22" s="180" t="e">
        <f>#N/A</f>
        <v>#DIV/0!</v>
      </c>
      <c r="Y22" s="197" t="e">
        <f>#N/A</f>
        <v>#DIV/0!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93573.1</v>
      </c>
      <c r="G23" s="158">
        <v>92970.71</v>
      </c>
      <c r="H23" s="102">
        <f>#N/A</f>
        <v>-602.3899999999994</v>
      </c>
      <c r="I23" s="208">
        <f>#N/A</f>
        <v>0.993562359267781</v>
      </c>
      <c r="J23" s="108">
        <f>#N/A</f>
        <v>-378596.48999999993</v>
      </c>
      <c r="K23" s="108">
        <f>#N/A</f>
        <v>19.71526221501411</v>
      </c>
      <c r="L23" s="108"/>
      <c r="M23" s="108"/>
      <c r="N23" s="108"/>
      <c r="O23" s="108">
        <v>430705.5</v>
      </c>
      <c r="P23" s="108">
        <f>#N/A</f>
        <v>40861.69999999995</v>
      </c>
      <c r="Q23" s="148">
        <f>#N/A</f>
        <v>1.0948715537646954</v>
      </c>
      <c r="R23" s="108">
        <v>79107.24</v>
      </c>
      <c r="S23" s="111">
        <f>#N/A</f>
        <v>13863.470000000001</v>
      </c>
      <c r="T23" s="147">
        <f>#N/A</f>
        <v>1.175249066962771</v>
      </c>
      <c r="U23" s="107">
        <f>F23-січень!F23</f>
        <v>50365.00000000001</v>
      </c>
      <c r="V23" s="110">
        <f>G23-січень!G23</f>
        <v>49762.57000000001</v>
      </c>
      <c r="W23" s="111">
        <f>#N/A</f>
        <v>-602.4300000000003</v>
      </c>
      <c r="X23" s="148">
        <f>#N/A</f>
        <v>0.9880387173632483</v>
      </c>
      <c r="Y23" s="197">
        <f>T23-Q23</f>
        <v>0.08037751319807573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33692.51</v>
      </c>
      <c r="G24" s="158">
        <f>G25+G32+G35</f>
        <v>32908.020000000004</v>
      </c>
      <c r="H24" s="102">
        <f>#N/A</f>
        <v>-784.489999999998</v>
      </c>
      <c r="I24" s="208">
        <f>#N/A</f>
        <v>0.9767161900374891</v>
      </c>
      <c r="J24" s="108">
        <f>#N/A</f>
        <v>-183933.97999999998</v>
      </c>
      <c r="K24" s="148">
        <f>#N/A</f>
        <v>0.1517603600778447</v>
      </c>
      <c r="L24" s="108"/>
      <c r="M24" s="108"/>
      <c r="N24" s="108"/>
      <c r="O24" s="108">
        <v>207231.03</v>
      </c>
      <c r="P24" s="108">
        <f>#N/A</f>
        <v>9610.970000000001</v>
      </c>
      <c r="Q24" s="148">
        <f>#N/A</f>
        <v>1.0463780448323787</v>
      </c>
      <c r="R24" s="108">
        <v>31455.05</v>
      </c>
      <c r="S24" s="111">
        <f>#N/A</f>
        <v>1452.9700000000048</v>
      </c>
      <c r="T24" s="147">
        <f>#N/A</f>
        <v>1.0461919469210827</v>
      </c>
      <c r="U24" s="107">
        <f>F24-січень!F24</f>
        <v>15541.000000000004</v>
      </c>
      <c r="V24" s="110">
        <f>G24-січень!G24</f>
        <v>14755.600000000006</v>
      </c>
      <c r="W24" s="111">
        <f>#N/A</f>
        <v>-785.3999999999978</v>
      </c>
      <c r="X24" s="148">
        <f>#N/A</f>
        <v>0.9494627115372243</v>
      </c>
      <c r="Y24" s="197">
        <f>#N/A</f>
        <v>-0.0001860979112959793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5421</v>
      </c>
      <c r="G25" s="141">
        <v>5552.52</v>
      </c>
      <c r="H25" s="170">
        <f>#N/A</f>
        <v>131.52000000000044</v>
      </c>
      <c r="I25" s="211">
        <f>#N/A</f>
        <v>1.0242612064194798</v>
      </c>
      <c r="J25" s="171">
        <f>#N/A</f>
        <v>-23231.48</v>
      </c>
      <c r="K25" s="180">
        <f>#N/A</f>
        <v>0.1929030016675931</v>
      </c>
      <c r="L25" s="171"/>
      <c r="M25" s="171"/>
      <c r="N25" s="171"/>
      <c r="O25" s="171">
        <v>25414.16</v>
      </c>
      <c r="P25" s="171">
        <f>#N/A</f>
        <v>3369.84</v>
      </c>
      <c r="Q25" s="180">
        <f>#N/A</f>
        <v>1.1325969459545386</v>
      </c>
      <c r="R25" s="179">
        <v>4408.21</v>
      </c>
      <c r="S25" s="116">
        <f>#N/A</f>
        <v>1144.3100000000004</v>
      </c>
      <c r="T25" s="152">
        <f>#N/A</f>
        <v>1.2595860904993184</v>
      </c>
      <c r="U25" s="107">
        <f>F25-січень!F25</f>
        <v>780</v>
      </c>
      <c r="V25" s="110">
        <f>G25-січень!G25</f>
        <v>910.6300000000001</v>
      </c>
      <c r="W25" s="116">
        <f>#N/A</f>
        <v>130.6300000000001</v>
      </c>
      <c r="X25" s="180">
        <f>#N/A</f>
        <v>1.167474358974359</v>
      </c>
      <c r="Y25" s="197">
        <f>#N/A</f>
        <v>0.12698914454477972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195.11</v>
      </c>
      <c r="G26" s="139">
        <f>G28+G29</f>
        <v>313.35</v>
      </c>
      <c r="H26" s="158">
        <f>#N/A</f>
        <v>118.24000000000001</v>
      </c>
      <c r="I26" s="212">
        <f>#N/A</f>
        <v>1.606017118548511</v>
      </c>
      <c r="J26" s="176">
        <f>#N/A</f>
        <v>-1208.65</v>
      </c>
      <c r="K26" s="191">
        <f>#N/A</f>
        <v>0.205880420499343</v>
      </c>
      <c r="L26" s="176"/>
      <c r="M26" s="176"/>
      <c r="N26" s="176"/>
      <c r="O26" s="176">
        <f>O28+O29</f>
        <v>1512.89</v>
      </c>
      <c r="P26" s="176">
        <f>#N/A</f>
        <v>9.1099999999999</v>
      </c>
      <c r="Q26" s="191">
        <f>#N/A</f>
        <v>1.006021587821983</v>
      </c>
      <c r="R26" s="140">
        <f>R28+R29</f>
        <v>150.23</v>
      </c>
      <c r="S26" s="201">
        <f>#N/A</f>
        <v>163.12000000000003</v>
      </c>
      <c r="T26" s="162">
        <f>#N/A</f>
        <v>2.0858017706183856</v>
      </c>
      <c r="U26" s="167">
        <f>F26-січень!F26</f>
        <v>40</v>
      </c>
      <c r="V26" s="167">
        <f>G26-січень!G26</f>
        <v>158.24</v>
      </c>
      <c r="W26" s="176">
        <f>#N/A</f>
        <v>118.24000000000001</v>
      </c>
      <c r="X26" s="191">
        <f>#N/A</f>
        <v>3.9560000000000004</v>
      </c>
      <c r="Y26" s="197">
        <f>#N/A</f>
        <v>1.0797801827964026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5225.89</v>
      </c>
      <c r="G27" s="139">
        <f>G30+G31</f>
        <v>5239.169999999999</v>
      </c>
      <c r="H27" s="158">
        <f>#N/A</f>
        <v>13.279999999998836</v>
      </c>
      <c r="I27" s="212">
        <f>#N/A</f>
        <v>1.0025411939401707</v>
      </c>
      <c r="J27" s="176">
        <f>#N/A</f>
        <v>-22022.83</v>
      </c>
      <c r="K27" s="191">
        <f>#N/A</f>
        <v>0.19217849020614772</v>
      </c>
      <c r="L27" s="176"/>
      <c r="M27" s="176"/>
      <c r="N27" s="176"/>
      <c r="O27" s="176">
        <f>O30+O31</f>
        <v>23901.28</v>
      </c>
      <c r="P27" s="176">
        <f>#N/A</f>
        <v>3360.720000000001</v>
      </c>
      <c r="Q27" s="191">
        <f>#N/A</f>
        <v>1.1406083690915299</v>
      </c>
      <c r="R27" s="140">
        <f>R30+R31</f>
        <v>4257.9800000000005</v>
      </c>
      <c r="S27" s="201">
        <f>#N/A</f>
        <v>981.1899999999987</v>
      </c>
      <c r="T27" s="162">
        <f>#N/A</f>
        <v>1.2304355586451787</v>
      </c>
      <c r="U27" s="167">
        <f>F27-січень!F27</f>
        <v>740</v>
      </c>
      <c r="V27" s="167">
        <f>G27-січень!G27</f>
        <v>752.3799999999992</v>
      </c>
      <c r="W27" s="176">
        <f>#N/A</f>
        <v>12.3799999999992</v>
      </c>
      <c r="X27" s="191">
        <f>#N/A</f>
        <v>1.0167297297297286</v>
      </c>
      <c r="Y27" s="197">
        <f>#N/A</f>
        <v>0.08982718955364888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59.3</v>
      </c>
      <c r="G28" s="206">
        <v>74.16</v>
      </c>
      <c r="H28" s="218">
        <f>#N/A</f>
        <v>14.86</v>
      </c>
      <c r="I28" s="220">
        <f>#N/A</f>
        <v>1.2505902192242833</v>
      </c>
      <c r="J28" s="221">
        <f>#N/A</f>
        <v>-241.84</v>
      </c>
      <c r="K28" s="222">
        <f>#N/A</f>
        <v>0.23468354430379745</v>
      </c>
      <c r="L28" s="176"/>
      <c r="M28" s="176"/>
      <c r="N28" s="176"/>
      <c r="O28" s="221">
        <v>275.91</v>
      </c>
      <c r="P28" s="221">
        <f>#N/A</f>
        <v>40.089999999999975</v>
      </c>
      <c r="Q28" s="222">
        <f>#N/A</f>
        <v>1.1453010039505636</v>
      </c>
      <c r="R28" s="221">
        <v>128.97</v>
      </c>
      <c r="S28" s="221">
        <f>#N/A</f>
        <v>-54.81</v>
      </c>
      <c r="T28" s="222">
        <f>#N/A</f>
        <v>0.5750174459176552</v>
      </c>
      <c r="U28" s="206">
        <f>F28-січень!F28</f>
        <v>29.999999999999996</v>
      </c>
      <c r="V28" s="206">
        <f>G28-січень!G28</f>
        <v>44.86</v>
      </c>
      <c r="W28" s="221">
        <f>#N/A</f>
        <v>14.860000000000003</v>
      </c>
      <c r="X28" s="222">
        <f>#N/A</f>
        <v>1.4953333333333334</v>
      </c>
      <c r="Y28" s="197"/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135.81</v>
      </c>
      <c r="G29" s="206">
        <v>239.19</v>
      </c>
      <c r="H29" s="218">
        <f>#N/A</f>
        <v>103.38</v>
      </c>
      <c r="I29" s="220">
        <f>#N/A</f>
        <v>1.76121051468964</v>
      </c>
      <c r="J29" s="221">
        <f>#N/A</f>
        <v>-966.81</v>
      </c>
      <c r="K29" s="222">
        <f>#N/A</f>
        <v>0.19833333333333333</v>
      </c>
      <c r="L29" s="176"/>
      <c r="M29" s="176"/>
      <c r="N29" s="176"/>
      <c r="O29" s="221">
        <v>1236.98</v>
      </c>
      <c r="P29" s="221">
        <f>#N/A</f>
        <v>-30.980000000000018</v>
      </c>
      <c r="Q29" s="222">
        <f>#N/A</f>
        <v>0.9749551326618053</v>
      </c>
      <c r="R29" s="221">
        <v>21.26</v>
      </c>
      <c r="S29" s="221">
        <f>#N/A</f>
        <v>217.93</v>
      </c>
      <c r="T29" s="222">
        <f>#N/A</f>
        <v>11.250705550329256</v>
      </c>
      <c r="U29" s="206">
        <f>F29-січень!F29</f>
        <v>10</v>
      </c>
      <c r="V29" s="206">
        <f>G29-січень!G29</f>
        <v>113.38</v>
      </c>
      <c r="W29" s="221">
        <f>#N/A</f>
        <v>103.38</v>
      </c>
      <c r="X29" s="222">
        <f>#N/A</f>
        <v>11.338</v>
      </c>
      <c r="Y29" s="197"/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300.09</v>
      </c>
      <c r="G30" s="206">
        <v>465.94</v>
      </c>
      <c r="H30" s="218">
        <f>#N/A</f>
        <v>165.85000000000002</v>
      </c>
      <c r="I30" s="220">
        <f>#N/A</f>
        <v>1.5526675330734114</v>
      </c>
      <c r="J30" s="221">
        <f>#N/A</f>
        <v>-1889.06</v>
      </c>
      <c r="K30" s="222">
        <f>#N/A</f>
        <v>0.19785138004246283</v>
      </c>
      <c r="L30" s="176"/>
      <c r="M30" s="176"/>
      <c r="N30" s="176"/>
      <c r="O30" s="221">
        <v>2220.25</v>
      </c>
      <c r="P30" s="221">
        <f>#N/A</f>
        <v>134.75</v>
      </c>
      <c r="Q30" s="222">
        <f>#N/A</f>
        <v>1.0606913635851818</v>
      </c>
      <c r="R30" s="221">
        <v>42.64</v>
      </c>
      <c r="S30" s="221">
        <f>#N/A</f>
        <v>423.3</v>
      </c>
      <c r="T30" s="222">
        <f>#N/A</f>
        <v>10.927298311444654</v>
      </c>
      <c r="U30" s="206">
        <f>F30-січень!F30</f>
        <v>19.999999999999943</v>
      </c>
      <c r="V30" s="206">
        <f>G30-січень!G30</f>
        <v>184.95</v>
      </c>
      <c r="W30" s="221">
        <f>#N/A</f>
        <v>164.95000000000005</v>
      </c>
      <c r="X30" s="222">
        <f>#N/A</f>
        <v>9.247500000000025</v>
      </c>
      <c r="Y30" s="197"/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4925.8</v>
      </c>
      <c r="G31" s="206">
        <v>4773.23</v>
      </c>
      <c r="H31" s="218">
        <f>#N/A</f>
        <v>-152.57000000000062</v>
      </c>
      <c r="I31" s="220">
        <f>#N/A</f>
        <v>0.9690263510495756</v>
      </c>
      <c r="J31" s="221">
        <f>#N/A</f>
        <v>-20133.77</v>
      </c>
      <c r="K31" s="222">
        <f>#N/A</f>
        <v>0.19164210864415623</v>
      </c>
      <c r="L31" s="176"/>
      <c r="M31" s="176"/>
      <c r="N31" s="176"/>
      <c r="O31" s="221">
        <v>21681.03</v>
      </c>
      <c r="P31" s="221">
        <f>#N/A</f>
        <v>3225.970000000001</v>
      </c>
      <c r="Q31" s="222">
        <f>#N/A</f>
        <v>1.148792285237371</v>
      </c>
      <c r="R31" s="221">
        <v>4215.34</v>
      </c>
      <c r="S31" s="221">
        <f>#N/A</f>
        <v>557.8899999999994</v>
      </c>
      <c r="T31" s="222">
        <f>#N/A</f>
        <v>1.1323475686421498</v>
      </c>
      <c r="U31" s="206">
        <f>F31-січень!F31</f>
        <v>720</v>
      </c>
      <c r="V31" s="206">
        <f>G31-січень!G31</f>
        <v>567.4299999999994</v>
      </c>
      <c r="W31" s="221">
        <f>#N/A</f>
        <v>-152.57000000000062</v>
      </c>
      <c r="X31" s="222">
        <f>#N/A</f>
        <v>0.7880972222222213</v>
      </c>
      <c r="Y31" s="197"/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159.03</v>
      </c>
      <c r="G32" s="120">
        <v>265.82</v>
      </c>
      <c r="H32" s="170">
        <f>#N/A</f>
        <v>106.78999999999999</v>
      </c>
      <c r="I32" s="211">
        <f>#N/A</f>
        <v>1.671508520404955</v>
      </c>
      <c r="J32" s="171">
        <f>#N/A</f>
        <v>-16.180000000000007</v>
      </c>
      <c r="K32" s="180">
        <f>#N/A</f>
        <v>0.9426241134751773</v>
      </c>
      <c r="L32" s="171"/>
      <c r="M32" s="171"/>
      <c r="N32" s="171"/>
      <c r="O32" s="171">
        <v>645.26</v>
      </c>
      <c r="P32" s="171">
        <f>#N/A</f>
        <v>-363.26</v>
      </c>
      <c r="Q32" s="180">
        <f>#N/A</f>
        <v>0.43703313393050863</v>
      </c>
      <c r="R32" s="121">
        <v>79.17</v>
      </c>
      <c r="S32" s="121">
        <f>#N/A</f>
        <v>186.64999999999998</v>
      </c>
      <c r="T32" s="150">
        <f>#N/A</f>
        <v>3.3575849437918404</v>
      </c>
      <c r="U32" s="136">
        <f>F32-січень!F32</f>
        <v>2</v>
      </c>
      <c r="V32" s="124">
        <f>G32-січень!G32</f>
        <v>108.78999999999999</v>
      </c>
      <c r="W32" s="116">
        <f>#N/A</f>
        <v>106.78999999999999</v>
      </c>
      <c r="X32" s="180">
        <f>#N/A</f>
        <v>54.394999999999996</v>
      </c>
      <c r="Y32" s="198">
        <f>#N/A</f>
        <v>2.920551809861332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60.84</v>
      </c>
      <c r="H33" s="71">
        <f>#N/A</f>
        <v>32.99</v>
      </c>
      <c r="I33" s="209">
        <f>#N/A</f>
        <v>2.184560143626571</v>
      </c>
      <c r="J33" s="72">
        <f>#N/A</f>
        <v>-39.16</v>
      </c>
      <c r="K33" s="75">
        <f>#N/A</f>
        <v>0.6084</v>
      </c>
      <c r="L33" s="72"/>
      <c r="M33" s="72"/>
      <c r="N33" s="72"/>
      <c r="O33" s="72">
        <v>241.36</v>
      </c>
      <c r="P33" s="72">
        <f>#N/A</f>
        <v>-141.36</v>
      </c>
      <c r="Q33" s="75">
        <f>#N/A</f>
        <v>0.41431885979449784</v>
      </c>
      <c r="R33" s="72">
        <v>25</v>
      </c>
      <c r="S33" s="72">
        <f>#N/A</f>
        <v>35.84</v>
      </c>
      <c r="T33" s="75">
        <f>#N/A</f>
        <v>2.4336</v>
      </c>
      <c r="U33" s="73">
        <f>F33-січень!F33</f>
        <v>0</v>
      </c>
      <c r="V33" s="98">
        <f>G33-січень!G33</f>
        <v>32.99</v>
      </c>
      <c r="W33" s="74">
        <f>#N/A</f>
        <v>32.99</v>
      </c>
      <c r="X33" s="75" t="e">
        <f>#N/A</f>
        <v>#DIV/0!</v>
      </c>
      <c r="Y33" s="198"/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131.18</v>
      </c>
      <c r="G34" s="94">
        <v>204.98</v>
      </c>
      <c r="H34" s="71">
        <f>#N/A</f>
        <v>73.79999999999998</v>
      </c>
      <c r="I34" s="209">
        <f>#N/A</f>
        <v>1.5625857600243938</v>
      </c>
      <c r="J34" s="72">
        <f>#N/A</f>
        <v>22.97999999999999</v>
      </c>
      <c r="K34" s="75">
        <f>#N/A</f>
        <v>1.1262637362637362</v>
      </c>
      <c r="L34" s="72"/>
      <c r="M34" s="72"/>
      <c r="N34" s="72"/>
      <c r="O34" s="72">
        <v>403.91</v>
      </c>
      <c r="P34" s="72">
        <f>#N/A</f>
        <v>-221.91000000000003</v>
      </c>
      <c r="Q34" s="75">
        <f>#N/A</f>
        <v>0.45059542967492755</v>
      </c>
      <c r="R34" s="72">
        <v>54.17</v>
      </c>
      <c r="S34" s="72">
        <f>#N/A</f>
        <v>150.81</v>
      </c>
      <c r="T34" s="75">
        <f>#N/A</f>
        <v>3.784013291489754</v>
      </c>
      <c r="U34" s="73">
        <f>F34-січень!F34</f>
        <v>2</v>
      </c>
      <c r="V34" s="98">
        <f>G34-січень!G34</f>
        <v>75.79999999999998</v>
      </c>
      <c r="W34" s="74"/>
      <c r="X34" s="75">
        <f>#N/A</f>
        <v>37.89999999999999</v>
      </c>
      <c r="Y34" s="198"/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28112.48</v>
      </c>
      <c r="G35" s="120">
        <v>27089.68</v>
      </c>
      <c r="H35" s="102">
        <f>#N/A</f>
        <v>-1022.7999999999993</v>
      </c>
      <c r="I35" s="211">
        <f>#N/A</f>
        <v>0.9636175819422549</v>
      </c>
      <c r="J35" s="171">
        <f>#N/A</f>
        <v>-160686.32</v>
      </c>
      <c r="K35" s="180">
        <f>#N/A</f>
        <v>0.14426593387866393</v>
      </c>
      <c r="L35" s="171"/>
      <c r="M35" s="171"/>
      <c r="N35" s="171"/>
      <c r="O35" s="171">
        <v>181171.61</v>
      </c>
      <c r="P35" s="171">
        <f>#N/A</f>
        <v>6604.390000000014</v>
      </c>
      <c r="Q35" s="180">
        <f>#N/A</f>
        <v>1.0364537799272193</v>
      </c>
      <c r="R35" s="122">
        <v>26967.67</v>
      </c>
      <c r="S35" s="122">
        <f>#N/A</f>
        <v>122.01000000000204</v>
      </c>
      <c r="T35" s="149">
        <f>#N/A</f>
        <v>1.0045243063267981</v>
      </c>
      <c r="U35" s="136">
        <f>F35-січень!F35</f>
        <v>14759</v>
      </c>
      <c r="V35" s="124">
        <f>G35-січень!G35</f>
        <v>13736.18</v>
      </c>
      <c r="W35" s="116">
        <f>#N/A</f>
        <v>-1022.8199999999997</v>
      </c>
      <c r="X35" s="180">
        <f>#N/A</f>
        <v>0.9306985568127922</v>
      </c>
      <c r="Y35" s="198">
        <f>#N/A</f>
        <v>-0.0319294736004212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>#N/A</f>
        <v>60690</v>
      </c>
      <c r="F36" s="139">
        <f>#N/A</f>
        <v>9226.23</v>
      </c>
      <c r="G36" s="139">
        <f>G38+G40</f>
        <v>8120.02</v>
      </c>
      <c r="H36" s="158">
        <f>#N/A</f>
        <v>-1106.2099999999991</v>
      </c>
      <c r="I36" s="212">
        <f>#N/A</f>
        <v>0.8801016233065945</v>
      </c>
      <c r="J36" s="176">
        <f>#N/A</f>
        <v>-52569.979999999996</v>
      </c>
      <c r="K36" s="191">
        <f>#N/A</f>
        <v>0.13379502389190973</v>
      </c>
      <c r="L36" s="176"/>
      <c r="M36" s="176"/>
      <c r="N36" s="176"/>
      <c r="O36" s="176">
        <f>O38+O40</f>
        <v>58608.68</v>
      </c>
      <c r="P36" s="176">
        <f>#N/A</f>
        <v>2081.3199999999997</v>
      </c>
      <c r="Q36" s="191">
        <f>#N/A</f>
        <v>1.0355121459824723</v>
      </c>
      <c r="R36" s="140">
        <f>R38+R40</f>
        <v>8859.21</v>
      </c>
      <c r="S36" s="140">
        <f>#N/A</f>
        <v>-739.1899999999987</v>
      </c>
      <c r="T36" s="162">
        <f>#N/A</f>
        <v>0.9165625377432075</v>
      </c>
      <c r="U36" s="167">
        <f>F36-січень!F36</f>
        <v>5159</v>
      </c>
      <c r="V36" s="167">
        <f>G36-січень!G36</f>
        <v>4052.7800000000007</v>
      </c>
      <c r="W36" s="176">
        <f>#N/A</f>
        <v>-1106.2199999999993</v>
      </c>
      <c r="X36" s="191">
        <f>#N/A</f>
        <v>78.5574723783679</v>
      </c>
      <c r="Y36" s="197">
        <f>#N/A</f>
        <v>-0.11894960823926481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>#N/A</f>
        <v>127086</v>
      </c>
      <c r="F37" s="139">
        <f>#N/A</f>
        <v>18886.25</v>
      </c>
      <c r="G37" s="139">
        <f>#N/A</f>
        <v>18969.66</v>
      </c>
      <c r="H37" s="158">
        <f>#N/A</f>
        <v>83.40999999999985</v>
      </c>
      <c r="I37" s="212">
        <f>#N/A</f>
        <v>1.0044164405321332</v>
      </c>
      <c r="J37" s="176">
        <f>#N/A</f>
        <v>-108116.34</v>
      </c>
      <c r="K37" s="191">
        <f>#N/A</f>
        <v>0.1492663235918984</v>
      </c>
      <c r="L37" s="176"/>
      <c r="M37" s="176"/>
      <c r="N37" s="176"/>
      <c r="O37" s="176">
        <f>O39+O41</f>
        <v>122562.93000000001</v>
      </c>
      <c r="P37" s="176">
        <f>#N/A</f>
        <v>4523.069999999992</v>
      </c>
      <c r="Q37" s="191">
        <f>#N/A</f>
        <v>1.0369040622641772</v>
      </c>
      <c r="R37" s="140">
        <f>R39+R41</f>
        <v>18108.45</v>
      </c>
      <c r="S37" s="140">
        <f>#N/A</f>
        <v>861.2099999999991</v>
      </c>
      <c r="T37" s="162">
        <f>#N/A</f>
        <v>1.047558460276832</v>
      </c>
      <c r="U37" s="167">
        <f>F37-січень!F37</f>
        <v>9600</v>
      </c>
      <c r="V37" s="167">
        <f>G37-січень!G37</f>
        <v>9683.4</v>
      </c>
      <c r="W37" s="176">
        <f>#N/A</f>
        <v>83.39999999999964</v>
      </c>
      <c r="X37" s="191">
        <f>V37/U37</f>
        <v>1.0086875</v>
      </c>
      <c r="Y37" s="197">
        <f>#N/A</f>
        <v>0.010654398012654775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8884.4</v>
      </c>
      <c r="G38" s="206">
        <v>7954.81</v>
      </c>
      <c r="H38" s="218">
        <f>#N/A</f>
        <v>-929.5899999999992</v>
      </c>
      <c r="I38" s="220">
        <f>#N/A</f>
        <v>0.8953682859844222</v>
      </c>
      <c r="J38" s="221">
        <f>#N/A</f>
        <v>-49335.19</v>
      </c>
      <c r="K38" s="222">
        <f>#N/A</f>
        <v>0.13885163204747775</v>
      </c>
      <c r="L38" s="176"/>
      <c r="M38" s="176"/>
      <c r="N38" s="176"/>
      <c r="O38" s="221">
        <v>55246.24</v>
      </c>
      <c r="P38" s="221">
        <f>#N/A</f>
        <v>2043.760000000002</v>
      </c>
      <c r="Q38" s="222">
        <f>#N/A</f>
        <v>1.0369936487985427</v>
      </c>
      <c r="R38" s="221">
        <v>8645.88</v>
      </c>
      <c r="S38" s="221">
        <f>#N/A</f>
        <v>-691.0699999999988</v>
      </c>
      <c r="T38" s="222">
        <f>#N/A</f>
        <v>0.9200694434805944</v>
      </c>
      <c r="U38" s="206">
        <f>F38-січень!F38</f>
        <v>4900</v>
      </c>
      <c r="V38" s="206">
        <f>G38-січень!G38</f>
        <v>3970.4000000000005</v>
      </c>
      <c r="W38" s="221">
        <f>#N/A</f>
        <v>-929.5999999999995</v>
      </c>
      <c r="X38" s="222">
        <f>#N/A</f>
        <v>81.02857142857144</v>
      </c>
      <c r="Y38" s="197"/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15793.45</v>
      </c>
      <c r="G39" s="206">
        <v>15859.42</v>
      </c>
      <c r="H39" s="218">
        <f>#N/A</f>
        <v>65.96999999999935</v>
      </c>
      <c r="I39" s="220">
        <f>#N/A</f>
        <v>1.0041770480800585</v>
      </c>
      <c r="J39" s="221">
        <f>#N/A</f>
        <v>-90126.58</v>
      </c>
      <c r="K39" s="222">
        <f>#N/A</f>
        <v>0.14963693317985394</v>
      </c>
      <c r="L39" s="176"/>
      <c r="M39" s="176"/>
      <c r="N39" s="176"/>
      <c r="O39" s="221">
        <v>102196.35</v>
      </c>
      <c r="P39" s="221">
        <f>#N/A</f>
        <v>3789.649999999994</v>
      </c>
      <c r="Q39" s="222">
        <f>#N/A</f>
        <v>1.0370820484293226</v>
      </c>
      <c r="R39" s="221">
        <v>14982.8</v>
      </c>
      <c r="S39" s="221">
        <f>#N/A</f>
        <v>876.6200000000008</v>
      </c>
      <c r="T39" s="222">
        <f>#N/A</f>
        <v>1.0585084229916972</v>
      </c>
      <c r="U39" s="206">
        <f>F39-січень!F39</f>
        <v>8000.000000000001</v>
      </c>
      <c r="V39" s="206">
        <f>G39-січень!G39</f>
        <v>8065.97</v>
      </c>
      <c r="W39" s="221">
        <f>#N/A</f>
        <v>65.96999999999935</v>
      </c>
      <c r="X39" s="222">
        <f>#N/A</f>
        <v>100.824625</v>
      </c>
      <c r="Y39" s="197"/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341.83</v>
      </c>
      <c r="G40" s="206">
        <v>165.21</v>
      </c>
      <c r="H40" s="218">
        <f>#N/A</f>
        <v>-176.61999999999998</v>
      </c>
      <c r="I40" s="220">
        <f>#N/A</f>
        <v>0.48331041745897085</v>
      </c>
      <c r="J40" s="221">
        <f>#N/A</f>
        <v>-3234.79</v>
      </c>
      <c r="K40" s="222">
        <f>#N/A</f>
        <v>0.048591176470588235</v>
      </c>
      <c r="L40" s="176"/>
      <c r="M40" s="176"/>
      <c r="N40" s="176"/>
      <c r="O40" s="221">
        <v>3362.44</v>
      </c>
      <c r="P40" s="221">
        <f>#N/A</f>
        <v>37.559999999999945</v>
      </c>
      <c r="Q40" s="222">
        <f>#N/A</f>
        <v>1.0111704595472335</v>
      </c>
      <c r="R40" s="221">
        <v>213.33</v>
      </c>
      <c r="S40" s="221">
        <f>#N/A</f>
        <v>-48.120000000000005</v>
      </c>
      <c r="T40" s="222">
        <f>#N/A</f>
        <v>0.7744339755308677</v>
      </c>
      <c r="U40" s="206">
        <f>F40-січень!F40</f>
        <v>259</v>
      </c>
      <c r="V40" s="206">
        <f>G40-січень!G40</f>
        <v>82.38000000000001</v>
      </c>
      <c r="W40" s="221">
        <f>#N/A</f>
        <v>-176.62</v>
      </c>
      <c r="X40" s="222">
        <f>#N/A</f>
        <v>31.80694980694981</v>
      </c>
      <c r="Y40" s="197"/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3092.8</v>
      </c>
      <c r="G41" s="206">
        <v>3110.24</v>
      </c>
      <c r="H41" s="218">
        <f>#N/A</f>
        <v>17.4399999999996</v>
      </c>
      <c r="I41" s="220">
        <f>#N/A</f>
        <v>1.0056389032591826</v>
      </c>
      <c r="J41" s="221">
        <f>#N/A</f>
        <v>-17989.760000000002</v>
      </c>
      <c r="K41" s="222">
        <f>#N/A</f>
        <v>0.14740473933649287</v>
      </c>
      <c r="L41" s="176"/>
      <c r="M41" s="176"/>
      <c r="N41" s="176"/>
      <c r="O41" s="221">
        <v>20366.58</v>
      </c>
      <c r="P41" s="221">
        <f>#N/A</f>
        <v>733.4199999999983</v>
      </c>
      <c r="Q41" s="222">
        <f>#N/A</f>
        <v>1.0360109552021006</v>
      </c>
      <c r="R41" s="221">
        <v>3125.65</v>
      </c>
      <c r="S41" s="221">
        <f>#N/A</f>
        <v>-15.41000000000031</v>
      </c>
      <c r="T41" s="222">
        <f>#N/A</f>
        <v>0.9950698254763009</v>
      </c>
      <c r="U41" s="206">
        <f>F41-січень!F41</f>
        <v>1600.0000000000002</v>
      </c>
      <c r="V41" s="206">
        <f>G41-січень!G41</f>
        <v>1617.4299999999998</v>
      </c>
      <c r="W41" s="221">
        <f>#N/A</f>
        <v>17.42999999999961</v>
      </c>
      <c r="X41" s="222">
        <f>#N/A</f>
        <v>101.08937499999998</v>
      </c>
      <c r="Y41" s="197"/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f>E42</f>
        <v>0</v>
      </c>
      <c r="G42" s="139">
        <v>0</v>
      </c>
      <c r="H42" s="102">
        <f>#N/A</f>
        <v>0</v>
      </c>
      <c r="I42" s="208"/>
      <c r="J42" s="108">
        <f>#N/A</f>
        <v>0</v>
      </c>
      <c r="K42" s="108"/>
      <c r="L42" s="108"/>
      <c r="M42" s="108"/>
      <c r="N42" s="108"/>
      <c r="O42" s="108">
        <v>0.2</v>
      </c>
      <c r="P42" s="108">
        <f>#N/A</f>
        <v>-0.2</v>
      </c>
      <c r="Q42" s="148">
        <f>#N/A</f>
        <v>0</v>
      </c>
      <c r="R42" s="117">
        <v>0.2</v>
      </c>
      <c r="S42" s="108">
        <f>#N/A</f>
        <v>-0.2</v>
      </c>
      <c r="T42" s="148"/>
      <c r="U42" s="107">
        <f>F42-січень!F42</f>
        <v>0</v>
      </c>
      <c r="V42" s="110">
        <f>G42-січень!G42</f>
        <v>0</v>
      </c>
      <c r="W42" s="111">
        <f>#N/A</f>
        <v>0</v>
      </c>
      <c r="X42" s="148"/>
      <c r="Y42" s="197">
        <f>#N/A</f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32.43</v>
      </c>
      <c r="G43" s="106">
        <v>42.13</v>
      </c>
      <c r="H43" s="102">
        <f>#N/A</f>
        <v>9.700000000000003</v>
      </c>
      <c r="I43" s="208">
        <f>G43/F43</f>
        <v>1.2991057662658034</v>
      </c>
      <c r="J43" s="108">
        <f>#N/A</f>
        <v>-132.27</v>
      </c>
      <c r="K43" s="148">
        <f>G43/E43</f>
        <v>0.2415711009174312</v>
      </c>
      <c r="L43" s="108"/>
      <c r="M43" s="108"/>
      <c r="N43" s="108"/>
      <c r="O43" s="108">
        <v>156.82</v>
      </c>
      <c r="P43" s="108">
        <f>#N/A</f>
        <v>17.580000000000013</v>
      </c>
      <c r="Q43" s="148">
        <f>#N/A</f>
        <v>1.112103048080602</v>
      </c>
      <c r="R43" s="117">
        <v>34.2</v>
      </c>
      <c r="S43" s="108">
        <f>#N/A</f>
        <v>7.93</v>
      </c>
      <c r="T43" s="148">
        <f>#N/A</f>
        <v>1.2318713450292398</v>
      </c>
      <c r="U43" s="107">
        <f>F43-січень!F43</f>
        <v>22</v>
      </c>
      <c r="V43" s="110">
        <f>G43-січень!G43</f>
        <v>31.700000000000003</v>
      </c>
      <c r="W43" s="111">
        <f>#N/A</f>
        <v>9.700000000000003</v>
      </c>
      <c r="X43" s="148">
        <f>V43/U43</f>
        <v>1.4409090909090911</v>
      </c>
      <c r="Y43" s="197">
        <f>#N/A</f>
        <v>0.11976829694863778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24.9</v>
      </c>
      <c r="G44" s="94">
        <v>33.8</v>
      </c>
      <c r="H44" s="71">
        <f>#N/A</f>
        <v>8.899999999999999</v>
      </c>
      <c r="I44" s="209">
        <f>G44/F44</f>
        <v>1.357429718875502</v>
      </c>
      <c r="J44" s="72">
        <f>#N/A</f>
        <v>-67.10000000000001</v>
      </c>
      <c r="K44" s="75">
        <f>G44/E44</f>
        <v>0.33498513379583744</v>
      </c>
      <c r="L44" s="72"/>
      <c r="M44" s="72"/>
      <c r="N44" s="72"/>
      <c r="O44" s="72">
        <v>95.14</v>
      </c>
      <c r="P44" s="72">
        <f>#N/A</f>
        <v>5.760000000000005</v>
      </c>
      <c r="Q44" s="75">
        <f>#N/A</f>
        <v>1.0605423586293883</v>
      </c>
      <c r="R44" s="72">
        <v>19.86</v>
      </c>
      <c r="S44" s="72">
        <f>#N/A</f>
        <v>13.939999999999998</v>
      </c>
      <c r="T44" s="75">
        <f>#N/A</f>
        <v>1.701913393756294</v>
      </c>
      <c r="U44" s="73">
        <f>F44-січень!F44</f>
        <v>14.999999999999998</v>
      </c>
      <c r="V44" s="98">
        <f>G44-січень!G44</f>
        <v>23.9</v>
      </c>
      <c r="W44" s="74">
        <f>#N/A</f>
        <v>8.9</v>
      </c>
      <c r="X44" s="75">
        <f>V44/U44</f>
        <v>1.5933333333333335</v>
      </c>
      <c r="Y44" s="197"/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7.53</v>
      </c>
      <c r="G45" s="94">
        <v>8.33</v>
      </c>
      <c r="H45" s="71">
        <f>#N/A</f>
        <v>0.7999999999999998</v>
      </c>
      <c r="I45" s="209">
        <f>G45/F45</f>
        <v>1.1062416998671978</v>
      </c>
      <c r="J45" s="72">
        <f>#N/A</f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>#N/A</f>
        <v>11.82</v>
      </c>
      <c r="Q45" s="75">
        <f>#N/A</f>
        <v>1.1916342412451362</v>
      </c>
      <c r="R45" s="72">
        <v>14.34</v>
      </c>
      <c r="S45" s="72">
        <f>#N/A</f>
        <v>-6.01</v>
      </c>
      <c r="T45" s="75">
        <f>#N/A</f>
        <v>0.5808926080892608</v>
      </c>
      <c r="U45" s="73">
        <f>F45-січень!F45</f>
        <v>7</v>
      </c>
      <c r="V45" s="98">
        <f>G45-січень!G45</f>
        <v>7.8</v>
      </c>
      <c r="W45" s="74">
        <f>#N/A</f>
        <v>0.7999999999999998</v>
      </c>
      <c r="X45" s="75">
        <f>V45/U45</f>
        <v>1.1142857142857143</v>
      </c>
      <c r="Y45" s="197"/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-2.34</v>
      </c>
      <c r="H46" s="102">
        <f>#N/A</f>
        <v>-2.34</v>
      </c>
      <c r="I46" s="208"/>
      <c r="J46" s="108">
        <f>#N/A</f>
        <v>-2.34</v>
      </c>
      <c r="K46" s="148"/>
      <c r="L46" s="108"/>
      <c r="M46" s="108"/>
      <c r="N46" s="108"/>
      <c r="O46" s="108">
        <v>-50.78</v>
      </c>
      <c r="P46" s="108">
        <f>#N/A</f>
        <v>50.78</v>
      </c>
      <c r="Q46" s="148">
        <f>#N/A</f>
        <v>0</v>
      </c>
      <c r="R46" s="108">
        <v>-10.76</v>
      </c>
      <c r="S46" s="108">
        <f>#N/A</f>
        <v>8.42</v>
      </c>
      <c r="T46" s="148">
        <f>#N/A</f>
        <v>0.21747211895910779</v>
      </c>
      <c r="U46" s="107">
        <f>F46-січень!F46</f>
        <v>0</v>
      </c>
      <c r="V46" s="110">
        <f>G46-січень!G46</f>
        <v>-1.4299999999999997</v>
      </c>
      <c r="W46" s="111">
        <f>#N/A</f>
        <v>-1.4299999999999997</v>
      </c>
      <c r="X46" s="148"/>
      <c r="Y46" s="197">
        <f>#N/A</f>
        <v>0.21747211895910779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254550.8</v>
      </c>
      <c r="F47" s="112">
        <f>F48+F49+F50+F51</f>
        <v>59848.16</v>
      </c>
      <c r="G47" s="113">
        <v>60022.9</v>
      </c>
      <c r="H47" s="102">
        <f>#N/A</f>
        <v>174.73999999999796</v>
      </c>
      <c r="I47" s="208">
        <f>G47/F47</f>
        <v>1.0029197221769224</v>
      </c>
      <c r="J47" s="108">
        <f>#N/A</f>
        <v>-194527.9</v>
      </c>
      <c r="K47" s="148">
        <f>G47/E47</f>
        <v>0.2357992982147375</v>
      </c>
      <c r="L47" s="108"/>
      <c r="M47" s="108"/>
      <c r="N47" s="108"/>
      <c r="O47" s="108">
        <v>223368.23</v>
      </c>
      <c r="P47" s="108">
        <f>#N/A</f>
        <v>31182.569999999978</v>
      </c>
      <c r="Q47" s="148">
        <f>#N/A</f>
        <v>1.139601634484904</v>
      </c>
      <c r="R47" s="123">
        <v>47628.56</v>
      </c>
      <c r="S47" s="123">
        <f>#N/A</f>
        <v>12394.340000000004</v>
      </c>
      <c r="T47" s="160">
        <f>#N/A</f>
        <v>1.260229156623673</v>
      </c>
      <c r="U47" s="107">
        <f>F47-січень!F47</f>
        <v>34802</v>
      </c>
      <c r="V47" s="110">
        <f>G47-січень!G47</f>
        <v>34976.7</v>
      </c>
      <c r="W47" s="111">
        <f>#N/A</f>
        <v>174.6999999999971</v>
      </c>
      <c r="X47" s="148">
        <f>V47/U47</f>
        <v>1.0050198264467558</v>
      </c>
      <c r="Y47" s="197">
        <f>#N/A</f>
        <v>0.12062752213876893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>#N/A</f>
        <v>0.01</v>
      </c>
      <c r="K48" s="75"/>
      <c r="L48" s="72"/>
      <c r="M48" s="72"/>
      <c r="N48" s="72"/>
      <c r="O48" s="72">
        <v>0.01</v>
      </c>
      <c r="P48" s="72">
        <f>#N/A</f>
        <v>-0.01</v>
      </c>
      <c r="Q48" s="75">
        <f>#N/A</f>
        <v>0</v>
      </c>
      <c r="R48" s="85">
        <f>O48</f>
        <v>0.01</v>
      </c>
      <c r="S48" s="85">
        <f>#N/A</f>
        <v>0</v>
      </c>
      <c r="T48" s="153">
        <f>#N/A</f>
        <v>1</v>
      </c>
      <c r="U48" s="73">
        <f>F48-січень!F48</f>
        <v>0</v>
      </c>
      <c r="V48" s="98">
        <f>G48-січень!G48</f>
        <v>0</v>
      </c>
      <c r="W48" s="74">
        <f>#N/A</f>
        <v>0</v>
      </c>
      <c r="X48" s="75"/>
      <c r="Y48" s="197">
        <f>#N/A</f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f>10683.87+2900</f>
        <v>13583.87</v>
      </c>
      <c r="G49" s="94">
        <v>13593.63</v>
      </c>
      <c r="H49" s="71">
        <f>G49-F49</f>
        <v>9.7599999999984</v>
      </c>
      <c r="I49" s="209">
        <f>G49/F49</f>
        <v>1.0007184992200306</v>
      </c>
      <c r="J49" s="72">
        <f>#N/A</f>
        <v>-42121.37</v>
      </c>
      <c r="K49" s="75">
        <f>G49/E49</f>
        <v>0.24398510275509286</v>
      </c>
      <c r="L49" s="72"/>
      <c r="M49" s="72"/>
      <c r="N49" s="72"/>
      <c r="O49" s="72">
        <v>45030.34</v>
      </c>
      <c r="P49" s="72">
        <f>#N/A</f>
        <v>10684.660000000003</v>
      </c>
      <c r="Q49" s="75">
        <f>#N/A</f>
        <v>1.2372769115223203</v>
      </c>
      <c r="R49" s="85">
        <v>9755.95</v>
      </c>
      <c r="S49" s="85">
        <f>#N/A</f>
        <v>3837.6799999999985</v>
      </c>
      <c r="T49" s="153">
        <f>#N/A</f>
        <v>1.393368149693264</v>
      </c>
      <c r="U49" s="73">
        <f>F49-січень!F49</f>
        <v>9700</v>
      </c>
      <c r="V49" s="98">
        <f>G49-січень!G49</f>
        <v>9709.759999999998</v>
      </c>
      <c r="W49" s="74">
        <f>#N/A</f>
        <v>9.7599999999984</v>
      </c>
      <c r="X49" s="75">
        <f>V49/U49</f>
        <v>1.00100618556701</v>
      </c>
      <c r="Y49" s="197">
        <f>#N/A</f>
        <v>0.1560912381709436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30">
        <v>198755</v>
      </c>
      <c r="E50" s="71">
        <v>198755</v>
      </c>
      <c r="F50" s="71">
        <f>44240.49+2000</f>
        <v>46240.49</v>
      </c>
      <c r="G50" s="94">
        <v>46407.44</v>
      </c>
      <c r="H50" s="71">
        <f>G50-F50</f>
        <v>166.95000000000437</v>
      </c>
      <c r="I50" s="209">
        <f>G50/F50</f>
        <v>1.003610472120862</v>
      </c>
      <c r="J50" s="72">
        <f>#N/A</f>
        <v>-152347.56</v>
      </c>
      <c r="K50" s="75">
        <f>G50/E50</f>
        <v>0.23349067947976151</v>
      </c>
      <c r="L50" s="72"/>
      <c r="M50" s="72"/>
      <c r="N50" s="72"/>
      <c r="O50" s="72">
        <v>178270.24</v>
      </c>
      <c r="P50" s="72">
        <f>#N/A</f>
        <v>20484.76000000001</v>
      </c>
      <c r="Q50" s="75">
        <f>#N/A</f>
        <v>1.11490846705541</v>
      </c>
      <c r="R50" s="85">
        <v>37856.5</v>
      </c>
      <c r="S50" s="85">
        <f>#N/A</f>
        <v>8550.940000000002</v>
      </c>
      <c r="T50" s="153">
        <f>#N/A</f>
        <v>1.2258777224518909</v>
      </c>
      <c r="U50" s="73">
        <f>F50-січень!F50</f>
        <v>25099.999999999996</v>
      </c>
      <c r="V50" s="98">
        <f>G50-січень!G50</f>
        <v>25266.95</v>
      </c>
      <c r="W50" s="74">
        <f>#N/A</f>
        <v>166.95000000000437</v>
      </c>
      <c r="X50" s="75">
        <f>V50/U50</f>
        <v>1.006651394422311</v>
      </c>
      <c r="Y50" s="197">
        <f>#N/A</f>
        <v>0.11096925539648095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23.8</v>
      </c>
      <c r="G51" s="94">
        <v>21.84</v>
      </c>
      <c r="H51" s="71">
        <f>G51-F51</f>
        <v>-1.9600000000000009</v>
      </c>
      <c r="I51" s="209">
        <f>G51/F51</f>
        <v>0.9176470588235294</v>
      </c>
      <c r="J51" s="72">
        <f>#N/A</f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>#N/A</f>
        <v>13.170000000000002</v>
      </c>
      <c r="Q51" s="75">
        <f>#N/A</f>
        <v>1.1947360638769777</v>
      </c>
      <c r="R51" s="85">
        <v>16.11</v>
      </c>
      <c r="S51" s="85">
        <f>#N/A</f>
        <v>5.73</v>
      </c>
      <c r="T51" s="153">
        <f>#N/A</f>
        <v>1.3556797020484173</v>
      </c>
      <c r="U51" s="73">
        <f>F51-січень!F51</f>
        <v>2</v>
      </c>
      <c r="V51" s="98">
        <f>G51-січень!G51</f>
        <v>0</v>
      </c>
      <c r="W51" s="74">
        <f>#N/A</f>
        <v>-2</v>
      </c>
      <c r="X51" s="75"/>
      <c r="Y51" s="197">
        <f>#N/A</f>
        <v>0.16094363817143953</v>
      </c>
    </row>
    <row r="52" spans="1:25" s="6" customFormat="1" ht="15" customHeight="1" hidden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>#N/A</f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>#N/A</f>
        <v>0</v>
      </c>
      <c r="T52" s="154"/>
      <c r="U52" s="91">
        <f>F52-січень!F52</f>
        <v>0</v>
      </c>
      <c r="V52" s="99">
        <f>G52-січень!G52</f>
        <v>0</v>
      </c>
      <c r="W52" s="111">
        <f>#N/A</f>
        <v>0</v>
      </c>
      <c r="X52" s="67"/>
      <c r="Y52" s="197">
        <f>#N/A</f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7035.548000000001</v>
      </c>
      <c r="G53" s="103">
        <f>G54+G55+G56+G57+G58+G60+G62+G63+G64+G65+G66+G71+G72+G76+G59+G61</f>
        <v>6945.68</v>
      </c>
      <c r="H53" s="103">
        <f>H54+H55+H56+H57+H58+H60+H62+H63+H64+H65+H66+H71+H72+H76+H59+H61</f>
        <v>-89.86800000000001</v>
      </c>
      <c r="I53" s="143">
        <f>#N/A</f>
        <v>0.987226581355141</v>
      </c>
      <c r="J53" s="104">
        <f>G53-E53</f>
        <v>-40303.22</v>
      </c>
      <c r="K53" s="156">
        <f>#N/A</f>
        <v>0.14700194078592305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>#N/A</f>
        <v>2717.9500000000007</v>
      </c>
      <c r="T53" s="143">
        <f>G53/R53</f>
        <v>1.64288637164625</v>
      </c>
      <c r="U53" s="103">
        <f>U54+U55+U56+U57+U58+U60+U62+U63+U64+U65+U66+U71+U72+U76+U59+U61</f>
        <v>3787.788</v>
      </c>
      <c r="V53" s="103">
        <f>V54+V55+V56+V57+V58+V60+V62+V63+V64+V65+V66+V71+V72+V76+V59+V61</f>
        <v>3697.92</v>
      </c>
      <c r="W53" s="103">
        <f>W54+W55+W56+W57+W58+W60+W62+W63+W64+W65+W66+W71+W72+W76</f>
        <v>-74.83799999999994</v>
      </c>
      <c r="X53" s="143">
        <f>V53/U53</f>
        <v>0.9762742793419272</v>
      </c>
      <c r="Y53" s="197">
        <f>#N/A</f>
        <v>0.9618798479563281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v>6.11</v>
      </c>
      <c r="G54" s="106">
        <v>55.49</v>
      </c>
      <c r="H54" s="102">
        <f>#N/A</f>
        <v>49.38</v>
      </c>
      <c r="I54" s="213">
        <f>#N/A</f>
        <v>9.081833060556464</v>
      </c>
      <c r="J54" s="115">
        <f>G54-E54</f>
        <v>-2594.51</v>
      </c>
      <c r="K54" s="155">
        <f>#N/A</f>
        <v>0.020939622641509434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9.18</v>
      </c>
      <c r="S54" s="115">
        <f>#N/A</f>
        <v>46.31</v>
      </c>
      <c r="T54" s="155">
        <f>G54/R54</f>
        <v>6.044662309368192</v>
      </c>
      <c r="U54" s="107">
        <f>F54-січень!F54</f>
        <v>5</v>
      </c>
      <c r="V54" s="110">
        <f>G54-січень!G54</f>
        <v>54.38</v>
      </c>
      <c r="W54" s="111">
        <f>#N/A</f>
        <v>49.38</v>
      </c>
      <c r="X54" s="155">
        <f>V54/U54</f>
        <v>10.876000000000001</v>
      </c>
      <c r="Y54" s="197">
        <f>#N/A</f>
        <v>5.038572619319748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v>5000</v>
      </c>
      <c r="F55" s="102">
        <v>280.078</v>
      </c>
      <c r="G55" s="106">
        <v>280.08</v>
      </c>
      <c r="H55" s="102">
        <f>#N/A</f>
        <v>0.0020000000000095497</v>
      </c>
      <c r="I55" s="213">
        <f>#N/A</f>
        <v>1.0000071408679012</v>
      </c>
      <c r="J55" s="115">
        <f>#N/A</f>
        <v>-4719.92</v>
      </c>
      <c r="K55" s="155">
        <f>#N/A</f>
        <v>0.056015999999999996</v>
      </c>
      <c r="L55" s="115"/>
      <c r="M55" s="115"/>
      <c r="N55" s="115"/>
      <c r="O55" s="115">
        <v>27997.6</v>
      </c>
      <c r="P55" s="115">
        <f>#N/A</f>
        <v>-22997.6</v>
      </c>
      <c r="Q55" s="155">
        <f>#N/A</f>
        <v>0.17858673600594338</v>
      </c>
      <c r="R55" s="115">
        <v>2116.32</v>
      </c>
      <c r="S55" s="115">
        <f>#N/A</f>
        <v>-1836.2400000000002</v>
      </c>
      <c r="T55" s="155">
        <f>#N/A</f>
        <v>0.13234293490587434</v>
      </c>
      <c r="U55" s="107">
        <f>F55-січень!F55</f>
        <v>280.078</v>
      </c>
      <c r="V55" s="110">
        <f>G55-січень!G55</f>
        <v>280.08</v>
      </c>
      <c r="W55" s="111">
        <f>#N/A</f>
        <v>0.0020000000000095497</v>
      </c>
      <c r="X55" s="155">
        <f>#N/A</f>
        <v>1.0000071408679012</v>
      </c>
      <c r="Y55" s="197">
        <f>#N/A</f>
        <v>-0.04624380110006904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14</v>
      </c>
      <c r="G56" s="106">
        <v>13.23</v>
      </c>
      <c r="H56" s="102">
        <f>#N/A</f>
        <v>-0.7699999999999996</v>
      </c>
      <c r="I56" s="213">
        <f>#N/A</f>
        <v>0.9450000000000001</v>
      </c>
      <c r="J56" s="115">
        <f>#N/A</f>
        <v>-144.77</v>
      </c>
      <c r="K56" s="155">
        <f>#N/A</f>
        <v>0.08373417721518987</v>
      </c>
      <c r="L56" s="115"/>
      <c r="M56" s="115"/>
      <c r="N56" s="115"/>
      <c r="O56" s="115">
        <v>153.3</v>
      </c>
      <c r="P56" s="115">
        <f>#N/A</f>
        <v>4.699999999999989</v>
      </c>
      <c r="Q56" s="155">
        <f>#N/A</f>
        <v>1.030658838878017</v>
      </c>
      <c r="R56" s="115">
        <v>57.08</v>
      </c>
      <c r="S56" s="115">
        <f>#N/A</f>
        <v>-43.849999999999994</v>
      </c>
      <c r="T56" s="155">
        <f>#N/A</f>
        <v>0.23177995795374914</v>
      </c>
      <c r="U56" s="107">
        <f>F56-січень!F56</f>
        <v>14</v>
      </c>
      <c r="V56" s="110">
        <f>G56-січень!G56</f>
        <v>13.23</v>
      </c>
      <c r="W56" s="111">
        <f>#N/A</f>
        <v>-0.7699999999999996</v>
      </c>
      <c r="X56" s="155">
        <f>#N/A</f>
        <v>0.9450000000000001</v>
      </c>
      <c r="Y56" s="197">
        <f>#N/A</f>
        <v>-0.7988788809242677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3</v>
      </c>
      <c r="G57" s="106">
        <v>2.02</v>
      </c>
      <c r="H57" s="102">
        <f>#N/A</f>
        <v>-0.98</v>
      </c>
      <c r="I57" s="213">
        <f>#N/A</f>
        <v>0.6733333333333333</v>
      </c>
      <c r="J57" s="115">
        <f>#N/A</f>
        <v>-10.98</v>
      </c>
      <c r="K57" s="155">
        <f>#N/A</f>
        <v>0.1553846153846154</v>
      </c>
      <c r="L57" s="115"/>
      <c r="M57" s="115"/>
      <c r="N57" s="115"/>
      <c r="O57" s="115">
        <v>12.95</v>
      </c>
      <c r="P57" s="115">
        <f>#N/A</f>
        <v>0.05000000000000071</v>
      </c>
      <c r="Q57" s="225">
        <f>#N/A</f>
        <v>1.0038610038610039</v>
      </c>
      <c r="R57" s="115">
        <v>2.03</v>
      </c>
      <c r="S57" s="115">
        <f>#N/A</f>
        <v>-0.009999999999999787</v>
      </c>
      <c r="T57" s="155"/>
      <c r="U57" s="107">
        <f>F57-січень!F57</f>
        <v>1</v>
      </c>
      <c r="V57" s="110">
        <f>G57-січень!G57</f>
        <v>0</v>
      </c>
      <c r="W57" s="111">
        <f>#N/A</f>
        <v>-1</v>
      </c>
      <c r="X57" s="155">
        <f>#N/A</f>
        <v>0</v>
      </c>
      <c r="Y57" s="197">
        <f>#N/A</f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88.43</v>
      </c>
      <c r="G58" s="106">
        <v>52.18</v>
      </c>
      <c r="H58" s="102">
        <f>#N/A</f>
        <v>-36.25000000000001</v>
      </c>
      <c r="I58" s="213">
        <f>#N/A</f>
        <v>0.5900712427909081</v>
      </c>
      <c r="J58" s="115">
        <f>#N/A</f>
        <v>-691.82</v>
      </c>
      <c r="K58" s="155">
        <f>#N/A</f>
        <v>0.07013440860215053</v>
      </c>
      <c r="L58" s="115"/>
      <c r="M58" s="115"/>
      <c r="N58" s="115"/>
      <c r="O58" s="115">
        <v>705.31</v>
      </c>
      <c r="P58" s="115">
        <f>#N/A</f>
        <v>38.690000000000055</v>
      </c>
      <c r="Q58" s="155">
        <f>#N/A</f>
        <v>1.0548553118486907</v>
      </c>
      <c r="R58" s="115">
        <v>82.08</v>
      </c>
      <c r="S58" s="115">
        <f>#N/A</f>
        <v>-29.9</v>
      </c>
      <c r="T58" s="155">
        <f>#N/A</f>
        <v>0.6357212475633528</v>
      </c>
      <c r="U58" s="107">
        <f>F58-січень!F58</f>
        <v>60.00000000000001</v>
      </c>
      <c r="V58" s="110">
        <f>G58-січень!G58</f>
        <v>23.75</v>
      </c>
      <c r="W58" s="111">
        <f>#N/A</f>
        <v>-36.25000000000001</v>
      </c>
      <c r="X58" s="155">
        <f>#N/A</f>
        <v>0.39583333333333326</v>
      </c>
      <c r="Y58" s="197">
        <f>#N/A</f>
        <v>-0.41913406428533795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10</v>
      </c>
      <c r="G59" s="106">
        <v>-11.58</v>
      </c>
      <c r="H59" s="102">
        <f>#N/A</f>
        <v>-21.58</v>
      </c>
      <c r="I59" s="213">
        <f>#N/A</f>
        <v>-1.158</v>
      </c>
      <c r="J59" s="115">
        <f>#N/A</f>
        <v>-127.08</v>
      </c>
      <c r="K59" s="155">
        <f>#N/A</f>
        <v>-0.10025974025974026</v>
      </c>
      <c r="L59" s="115"/>
      <c r="M59" s="115"/>
      <c r="N59" s="115"/>
      <c r="O59" s="115">
        <v>114.3</v>
      </c>
      <c r="P59" s="115">
        <f>#N/A</f>
        <v>1.2000000000000028</v>
      </c>
      <c r="Q59" s="155">
        <f>#N/A</f>
        <v>1.010498687664042</v>
      </c>
      <c r="R59" s="115">
        <v>0</v>
      </c>
      <c r="S59" s="115">
        <f>#N/A</f>
        <v>-11.58</v>
      </c>
      <c r="T59" s="155" t="e">
        <f>#N/A</f>
        <v>#DIV/0!</v>
      </c>
      <c r="U59" s="107">
        <f>F59-січень!F59</f>
        <v>10</v>
      </c>
      <c r="V59" s="110">
        <f>G59-січень!G59</f>
        <v>-5.03</v>
      </c>
      <c r="W59" s="111">
        <f>#N/A</f>
        <v>-15.030000000000001</v>
      </c>
      <c r="X59" s="155">
        <f>#N/A</f>
        <v>-0.503</v>
      </c>
      <c r="Y59" s="197" t="e">
        <f>#N/A</f>
        <v>#DIV/0!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184</v>
      </c>
      <c r="G60" s="106">
        <v>177.19</v>
      </c>
      <c r="H60" s="102">
        <f>#N/A</f>
        <v>-6.810000000000002</v>
      </c>
      <c r="I60" s="213">
        <f>#N/A</f>
        <v>0.9629891304347826</v>
      </c>
      <c r="J60" s="115">
        <f>#N/A</f>
        <v>-1106.81</v>
      </c>
      <c r="K60" s="155">
        <f>#N/A</f>
        <v>0.13799844236760125</v>
      </c>
      <c r="L60" s="115"/>
      <c r="M60" s="115"/>
      <c r="N60" s="115"/>
      <c r="O60" s="115">
        <v>1205.14</v>
      </c>
      <c r="P60" s="115">
        <f>#N/A</f>
        <v>78.8599999999999</v>
      </c>
      <c r="Q60" s="155">
        <f>#N/A</f>
        <v>1.0654363808354215</v>
      </c>
      <c r="R60" s="115">
        <v>192.39</v>
      </c>
      <c r="S60" s="115">
        <f>#N/A</f>
        <v>-15.199999999999989</v>
      </c>
      <c r="T60" s="155">
        <f>#N/A</f>
        <v>0.920993814647331</v>
      </c>
      <c r="U60" s="107">
        <f>F60-січень!F60</f>
        <v>94.81</v>
      </c>
      <c r="V60" s="110">
        <f>G60-січень!G60</f>
        <v>88</v>
      </c>
      <c r="W60" s="111">
        <f>#N/A</f>
        <v>-6.810000000000002</v>
      </c>
      <c r="X60" s="155">
        <f>#N/A</f>
        <v>0.9281721337411665</v>
      </c>
      <c r="Y60" s="197">
        <f>#N/A</f>
        <v>-0.14444256618809048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>#N/A</f>
        <v>0</v>
      </c>
      <c r="I61" s="213" t="e">
        <f>#N/A</f>
        <v>#DIV/0!</v>
      </c>
      <c r="J61" s="115">
        <f>#N/A</f>
        <v>0</v>
      </c>
      <c r="K61" s="155" t="e">
        <f>#N/A</f>
        <v>#DIV/0!</v>
      </c>
      <c r="L61" s="115"/>
      <c r="M61" s="115"/>
      <c r="N61" s="115"/>
      <c r="O61" s="115">
        <v>23.38</v>
      </c>
      <c r="P61" s="115">
        <f>#N/A</f>
        <v>-23.38</v>
      </c>
      <c r="Q61" s="155">
        <f>#N/A</f>
        <v>0</v>
      </c>
      <c r="R61" s="115">
        <v>0</v>
      </c>
      <c r="S61" s="115">
        <f>#N/A</f>
        <v>0</v>
      </c>
      <c r="T61" s="155"/>
      <c r="U61" s="107">
        <f>F61-січень!F61</f>
        <v>0</v>
      </c>
      <c r="V61" s="110">
        <f>G61-січень!G61</f>
        <v>0</v>
      </c>
      <c r="W61" s="111">
        <f>#N/A</f>
        <v>0</v>
      </c>
      <c r="X61" s="155" t="e">
        <f>#N/A</f>
        <v>#DIV/0!</v>
      </c>
      <c r="Y61" s="197">
        <f>#N/A</f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v>21260</v>
      </c>
      <c r="F62" s="102">
        <f>3690+200</f>
        <v>3890</v>
      </c>
      <c r="G62" s="106">
        <v>3955.42</v>
      </c>
      <c r="H62" s="102">
        <f>#N/A</f>
        <v>65.42000000000007</v>
      </c>
      <c r="I62" s="213">
        <f>#N/A</f>
        <v>1.0168174807197943</v>
      </c>
      <c r="J62" s="115">
        <f>#N/A</f>
        <v>-17304.58</v>
      </c>
      <c r="K62" s="155">
        <f>#N/A</f>
        <v>0.18604985888993414</v>
      </c>
      <c r="L62" s="115"/>
      <c r="M62" s="115"/>
      <c r="N62" s="115"/>
      <c r="O62" s="115">
        <v>20110.14</v>
      </c>
      <c r="P62" s="115">
        <f>#N/A</f>
        <v>1149.8600000000006</v>
      </c>
      <c r="Q62" s="155">
        <f>#N/A</f>
        <v>1.0571781200926498</v>
      </c>
      <c r="R62" s="115">
        <v>2143.72</v>
      </c>
      <c r="S62" s="115">
        <f>#N/A</f>
        <v>1811.7000000000003</v>
      </c>
      <c r="T62" s="155">
        <f>#N/A</f>
        <v>1.8451196984680838</v>
      </c>
      <c r="U62" s="107">
        <f>F62-січень!F62</f>
        <v>2000</v>
      </c>
      <c r="V62" s="110">
        <f>G62-січень!G62</f>
        <v>2061.32</v>
      </c>
      <c r="W62" s="111">
        <f>#N/A</f>
        <v>61.320000000000164</v>
      </c>
      <c r="X62" s="155">
        <f>#N/A</f>
        <v>1.0306600000000001</v>
      </c>
      <c r="Y62" s="197">
        <f>#N/A</f>
        <v>0.787941578375434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121</v>
      </c>
      <c r="G63" s="106">
        <v>121.69</v>
      </c>
      <c r="H63" s="102">
        <f>#N/A</f>
        <v>0.6899999999999977</v>
      </c>
      <c r="I63" s="213">
        <f>#N/A</f>
        <v>1.005702479338843</v>
      </c>
      <c r="J63" s="115">
        <f>#N/A</f>
        <v>-645.31</v>
      </c>
      <c r="K63" s="155">
        <f>#N/A</f>
        <v>0.15865710560625815</v>
      </c>
      <c r="L63" s="115"/>
      <c r="M63" s="115"/>
      <c r="N63" s="115"/>
      <c r="O63" s="115">
        <v>710.04</v>
      </c>
      <c r="P63" s="115">
        <f>#N/A</f>
        <v>56.960000000000036</v>
      </c>
      <c r="Q63" s="155">
        <f>#N/A</f>
        <v>1.0802208326291478</v>
      </c>
      <c r="R63" s="115">
        <v>90.44</v>
      </c>
      <c r="S63" s="115">
        <f>#N/A</f>
        <v>31.25</v>
      </c>
      <c r="T63" s="155">
        <f>#N/A</f>
        <v>1.345532950022114</v>
      </c>
      <c r="U63" s="107">
        <f>F63-січень!F63</f>
        <v>64</v>
      </c>
      <c r="V63" s="110">
        <f>G63-січень!G63</f>
        <v>62.32</v>
      </c>
      <c r="W63" s="111">
        <f>#N/A</f>
        <v>-1.6799999999999997</v>
      </c>
      <c r="X63" s="155">
        <f>#N/A</f>
        <v>0.97375</v>
      </c>
      <c r="Y63" s="197">
        <f>#N/A</f>
        <v>0.26531211739296623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4</v>
      </c>
      <c r="G64" s="106">
        <v>6.7</v>
      </c>
      <c r="H64" s="102">
        <f>#N/A</f>
        <v>2.7</v>
      </c>
      <c r="I64" s="213">
        <f>#N/A</f>
        <v>1.675</v>
      </c>
      <c r="J64" s="115">
        <f>#N/A</f>
        <v>-37.3</v>
      </c>
      <c r="K64" s="155">
        <f>#N/A</f>
        <v>0.15227272727272728</v>
      </c>
      <c r="L64" s="115"/>
      <c r="M64" s="115"/>
      <c r="N64" s="115"/>
      <c r="O64" s="115">
        <v>41.44</v>
      </c>
      <c r="P64" s="115">
        <f>#N/A</f>
        <v>2.5600000000000023</v>
      </c>
      <c r="Q64" s="155">
        <f>#N/A</f>
        <v>1.0617760617760619</v>
      </c>
      <c r="R64" s="115">
        <v>0</v>
      </c>
      <c r="S64" s="115">
        <f>#N/A</f>
        <v>6.7</v>
      </c>
      <c r="T64" s="155" t="e">
        <f>#N/A</f>
        <v>#DIV/0!</v>
      </c>
      <c r="U64" s="107">
        <f>F64-січень!F64</f>
        <v>3</v>
      </c>
      <c r="V64" s="110">
        <f>G64-січень!G64</f>
        <v>5.640000000000001</v>
      </c>
      <c r="W64" s="111">
        <f>#N/A</f>
        <v>2.6400000000000006</v>
      </c>
      <c r="X64" s="155">
        <f>#N/A</f>
        <v>1.8800000000000001</v>
      </c>
      <c r="Y64" s="197" t="e">
        <f>#N/A</f>
        <v>#DIV/0!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1064.14</v>
      </c>
      <c r="G65" s="106">
        <v>1114.23</v>
      </c>
      <c r="H65" s="102">
        <f>#N/A</f>
        <v>50.08999999999992</v>
      </c>
      <c r="I65" s="213">
        <f>#N/A</f>
        <v>1.0470708741331027</v>
      </c>
      <c r="J65" s="115">
        <f>#N/A</f>
        <v>-4885.77</v>
      </c>
      <c r="K65" s="155">
        <f>#N/A</f>
        <v>0.185705</v>
      </c>
      <c r="L65" s="115"/>
      <c r="M65" s="115"/>
      <c r="N65" s="115"/>
      <c r="O65" s="115">
        <v>6545.96</v>
      </c>
      <c r="P65" s="115">
        <f>#N/A</f>
        <v>-545.96</v>
      </c>
      <c r="Q65" s="155">
        <f>#N/A</f>
        <v>0.9165958850955398</v>
      </c>
      <c r="R65" s="115">
        <v>1163.35</v>
      </c>
      <c r="S65" s="115">
        <f>#N/A</f>
        <v>-49.11999999999989</v>
      </c>
      <c r="T65" s="155">
        <f>#N/A</f>
        <v>0.9577771092104699</v>
      </c>
      <c r="U65" s="107">
        <f>F65-січень!F65</f>
        <v>500.0000000000001</v>
      </c>
      <c r="V65" s="110">
        <f>G65-січень!G65</f>
        <v>550.09</v>
      </c>
      <c r="W65" s="111">
        <f>#N/A</f>
        <v>50.08999999999992</v>
      </c>
      <c r="X65" s="155">
        <f>#N/A</f>
        <v>1.1001799999999997</v>
      </c>
      <c r="Y65" s="197">
        <f>#N/A</f>
        <v>0.04118122411493008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120.64</v>
      </c>
      <c r="G66" s="106">
        <v>106.88</v>
      </c>
      <c r="H66" s="102">
        <f>#N/A</f>
        <v>-13.760000000000005</v>
      </c>
      <c r="I66" s="213">
        <f>#N/A</f>
        <v>0.8859416445623342</v>
      </c>
      <c r="J66" s="115">
        <f>#N/A</f>
        <v>-759.12</v>
      </c>
      <c r="K66" s="155">
        <f>#N/A</f>
        <v>0.12341801385681293</v>
      </c>
      <c r="L66" s="115"/>
      <c r="M66" s="115"/>
      <c r="N66" s="115"/>
      <c r="O66" s="115">
        <v>896.22</v>
      </c>
      <c r="P66" s="115">
        <f>#N/A</f>
        <v>-30.220000000000027</v>
      </c>
      <c r="Q66" s="155">
        <f>#N/A</f>
        <v>0.9662806007453527</v>
      </c>
      <c r="R66" s="115">
        <v>89.05</v>
      </c>
      <c r="S66" s="115">
        <f>#N/A</f>
        <v>17.83</v>
      </c>
      <c r="T66" s="155">
        <f>#N/A</f>
        <v>1.2002245929253228</v>
      </c>
      <c r="U66" s="107">
        <f>F66-січень!F66</f>
        <v>74.4</v>
      </c>
      <c r="V66" s="110">
        <f>G66-січень!G66</f>
        <v>60.63999999999999</v>
      </c>
      <c r="W66" s="111">
        <f>#N/A</f>
        <v>-13.760000000000012</v>
      </c>
      <c r="X66" s="155">
        <f>#N/A</f>
        <v>0.8150537634408601</v>
      </c>
      <c r="Y66" s="197">
        <f>#N/A</f>
        <v>0.23394399217997008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97.42</v>
      </c>
      <c r="G67" s="94">
        <v>83.89</v>
      </c>
      <c r="H67" s="71">
        <f>#N/A</f>
        <v>-13.530000000000001</v>
      </c>
      <c r="I67" s="209">
        <f>#N/A</f>
        <v>0.8611168137959351</v>
      </c>
      <c r="J67" s="72">
        <f>#N/A</f>
        <v>-644.3100000000001</v>
      </c>
      <c r="K67" s="75">
        <f>#N/A</f>
        <v>0.11520186761878604</v>
      </c>
      <c r="L67" s="72"/>
      <c r="M67" s="72"/>
      <c r="N67" s="72"/>
      <c r="O67" s="72">
        <v>760.62</v>
      </c>
      <c r="P67" s="72">
        <f>#N/A</f>
        <v>-32.41999999999996</v>
      </c>
      <c r="Q67" s="75">
        <f>#N/A</f>
        <v>0.957376876758434</v>
      </c>
      <c r="R67" s="72">
        <v>73.71</v>
      </c>
      <c r="S67" s="203">
        <f>#N/A</f>
        <v>10.180000000000007</v>
      </c>
      <c r="T67" s="204">
        <f>#N/A</f>
        <v>1.1381088047754715</v>
      </c>
      <c r="U67" s="73">
        <f>F67-січень!F67</f>
        <v>63</v>
      </c>
      <c r="V67" s="98">
        <f>G67-січень!G67</f>
        <v>49.47</v>
      </c>
      <c r="W67" s="74">
        <f>#N/A</f>
        <v>-13.530000000000001</v>
      </c>
      <c r="X67" s="75">
        <f>#N/A</f>
        <v>0.7852380952380952</v>
      </c>
      <c r="Y67" s="197">
        <f>#N/A</f>
        <v>0.18073192801703752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</v>
      </c>
      <c r="G68" s="94">
        <v>0.04</v>
      </c>
      <c r="H68" s="71">
        <f>#N/A</f>
        <v>0.04</v>
      </c>
      <c r="I68" s="209" t="e">
        <f>#N/A</f>
        <v>#DIV/0!</v>
      </c>
      <c r="J68" s="72">
        <f>#N/A</f>
        <v>-0.96</v>
      </c>
      <c r="K68" s="75">
        <f>#N/A</f>
        <v>0.04</v>
      </c>
      <c r="L68" s="72"/>
      <c r="M68" s="72"/>
      <c r="N68" s="72"/>
      <c r="O68" s="72">
        <v>0.18</v>
      </c>
      <c r="P68" s="72">
        <f>#N/A</f>
        <v>0.8200000000000001</v>
      </c>
      <c r="Q68" s="75">
        <f>#N/A</f>
        <v>5.555555555555555</v>
      </c>
      <c r="R68" s="72">
        <v>0.1</v>
      </c>
      <c r="S68" s="203">
        <f>#N/A</f>
        <v>-0.060000000000000005</v>
      </c>
      <c r="T68" s="204">
        <f>#N/A</f>
        <v>0.39999999999999997</v>
      </c>
      <c r="U68" s="73">
        <f>F68-січень!F68</f>
        <v>0</v>
      </c>
      <c r="V68" s="98">
        <f>G68-січень!G68</f>
        <v>0.04</v>
      </c>
      <c r="W68" s="74">
        <f>#N/A</f>
        <v>0.04</v>
      </c>
      <c r="X68" s="75"/>
      <c r="Y68" s="197">
        <f>#N/A</f>
        <v>-5.155555555555555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>#N/A</f>
        <v>0</v>
      </c>
      <c r="I69" s="209" t="e">
        <f>#N/A</f>
        <v>#DIV/0!</v>
      </c>
      <c r="J69" s="72">
        <f>#N/A</f>
        <v>0</v>
      </c>
      <c r="K69" s="75" t="e">
        <f>#N/A</f>
        <v>#DIV/0!</v>
      </c>
      <c r="L69" s="72"/>
      <c r="M69" s="72"/>
      <c r="N69" s="72"/>
      <c r="O69" s="72">
        <v>0</v>
      </c>
      <c r="P69" s="72">
        <f>#N/A</f>
        <v>0</v>
      </c>
      <c r="Q69" s="75" t="e">
        <f>#N/A</f>
        <v>#DIV/0!</v>
      </c>
      <c r="R69" s="72">
        <f>O69</f>
        <v>0</v>
      </c>
      <c r="S69" s="203">
        <f>#N/A</f>
        <v>0</v>
      </c>
      <c r="T69" s="204" t="e">
        <f>#N/A</f>
        <v>#DIV/0!</v>
      </c>
      <c r="U69" s="73">
        <f>F69-січень!F69</f>
        <v>0</v>
      </c>
      <c r="V69" s="98">
        <f>G69-січень!G69</f>
        <v>0</v>
      </c>
      <c r="W69" s="74">
        <f>#N/A</f>
        <v>0</v>
      </c>
      <c r="X69" s="75"/>
      <c r="Y69" s="197" t="e">
        <f>#N/A</f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23.22</v>
      </c>
      <c r="G70" s="94">
        <v>23.15</v>
      </c>
      <c r="H70" s="71">
        <f>#N/A</f>
        <v>-0.07000000000000028</v>
      </c>
      <c r="I70" s="209">
        <f>#N/A</f>
        <v>0.9969853574504737</v>
      </c>
      <c r="J70" s="72">
        <f>#N/A</f>
        <v>-113.65</v>
      </c>
      <c r="K70" s="75">
        <f>#N/A</f>
        <v>0.1692251461988304</v>
      </c>
      <c r="L70" s="72"/>
      <c r="M70" s="72"/>
      <c r="N70" s="72"/>
      <c r="O70" s="72">
        <v>135.42</v>
      </c>
      <c r="P70" s="72">
        <f>#N/A</f>
        <v>1.3800000000000239</v>
      </c>
      <c r="Q70" s="75">
        <f>#N/A</f>
        <v>1.01019051838724</v>
      </c>
      <c r="R70" s="72">
        <v>15.24</v>
      </c>
      <c r="S70" s="203">
        <f>#N/A</f>
        <v>7.909999999999998</v>
      </c>
      <c r="T70" s="204">
        <f>#N/A</f>
        <v>1.519028871391076</v>
      </c>
      <c r="U70" s="73">
        <f>F70-січень!F70</f>
        <v>11.399999999999999</v>
      </c>
      <c r="V70" s="98">
        <f>G70-січень!G70</f>
        <v>11.329999999999998</v>
      </c>
      <c r="W70" s="74">
        <f>#N/A</f>
        <v>-0.07000000000000028</v>
      </c>
      <c r="X70" s="75">
        <f>#N/A</f>
        <v>0.993859649122807</v>
      </c>
      <c r="Y70" s="197">
        <f>#N/A</f>
        <v>0.5088383530038361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</v>
      </c>
      <c r="H71" s="102">
        <f>#N/A</f>
        <v>-1.5</v>
      </c>
      <c r="I71" s="213">
        <f>#N/A</f>
        <v>0</v>
      </c>
      <c r="J71" s="115">
        <f>#N/A</f>
        <v>-3</v>
      </c>
      <c r="K71" s="155">
        <f>#N/A</f>
        <v>0</v>
      </c>
      <c r="L71" s="115"/>
      <c r="M71" s="115"/>
      <c r="N71" s="115"/>
      <c r="O71" s="115">
        <v>2.04</v>
      </c>
      <c r="P71" s="115">
        <f>#N/A</f>
        <v>0.96</v>
      </c>
      <c r="Q71" s="155">
        <f>#N/A</f>
        <v>1.4705882352941175</v>
      </c>
      <c r="R71" s="115">
        <v>1.67</v>
      </c>
      <c r="S71" s="115">
        <f>#N/A</f>
        <v>-1.67</v>
      </c>
      <c r="T71" s="155">
        <f>#N/A</f>
        <v>0</v>
      </c>
      <c r="U71" s="107">
        <f>F71-січень!F71</f>
        <v>1.5</v>
      </c>
      <c r="V71" s="110">
        <f>G71-січень!G71</f>
        <v>0</v>
      </c>
      <c r="W71" s="111">
        <f>#N/A</f>
        <v>-1.5</v>
      </c>
      <c r="X71" s="155"/>
      <c r="Y71" s="197">
        <f>#N/A</f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1248.65</v>
      </c>
      <c r="G72" s="106">
        <v>1072.15</v>
      </c>
      <c r="H72" s="102">
        <f>#N/A</f>
        <v>-176.5</v>
      </c>
      <c r="I72" s="213">
        <f>#N/A</f>
        <v>0.8586473391262563</v>
      </c>
      <c r="J72" s="115">
        <f>#N/A</f>
        <v>-7097.85</v>
      </c>
      <c r="K72" s="155">
        <f>#N/A</f>
        <v>0.13123011015911873</v>
      </c>
      <c r="L72" s="115"/>
      <c r="M72" s="115"/>
      <c r="N72" s="115"/>
      <c r="O72" s="115">
        <v>8086.92</v>
      </c>
      <c r="P72" s="115">
        <f>#N/A</f>
        <v>83.07999999999993</v>
      </c>
      <c r="Q72" s="155">
        <f>#N/A</f>
        <v>1.0102733797292418</v>
      </c>
      <c r="R72" s="115">
        <v>2711.43</v>
      </c>
      <c r="S72" s="115">
        <f>#N/A</f>
        <v>-1639.2799999999997</v>
      </c>
      <c r="T72" s="155">
        <f>#N/A</f>
        <v>0.3954186536255777</v>
      </c>
      <c r="U72" s="107">
        <f>F72-січень!F72</f>
        <v>680.0000000000001</v>
      </c>
      <c r="V72" s="110">
        <f>G72-січень!G72</f>
        <v>503.5000000000001</v>
      </c>
      <c r="W72" s="111">
        <f>#N/A</f>
        <v>-176.5</v>
      </c>
      <c r="X72" s="155">
        <f>#N/A</f>
        <v>0.7404411764705883</v>
      </c>
      <c r="Y72" s="197">
        <f>#N/A</f>
        <v>-0.6148547261036641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>#N/A</f>
        <v>0</v>
      </c>
      <c r="I73" s="213" t="e">
        <f>G73/F73*100</f>
        <v>#DIV/0!</v>
      </c>
      <c r="J73" s="115">
        <f>#N/A</f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>#N/A</f>
        <v>0</v>
      </c>
      <c r="T73" s="155" t="e">
        <f>#N/A</f>
        <v>#DIV/0!</v>
      </c>
      <c r="U73" s="107">
        <f>F73-січень!F73</f>
        <v>0</v>
      </c>
      <c r="V73" s="110">
        <f>G73-січень!G73</f>
        <v>0</v>
      </c>
      <c r="W73" s="111">
        <f>#N/A</f>
        <v>0</v>
      </c>
      <c r="X73" s="155" t="e">
        <f>#N/A</f>
        <v>#DIV/0!</v>
      </c>
      <c r="Y73" s="197" t="e">
        <f>#N/A</f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>#N/A</f>
        <v>0</v>
      </c>
      <c r="U74" s="107">
        <f>F74-січень!F74</f>
        <v>0</v>
      </c>
      <c r="V74" s="110">
        <f>G74-січень!G74</f>
        <v>0</v>
      </c>
      <c r="W74" s="116">
        <f>#N/A</f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>#N/A</f>
        <v>0</v>
      </c>
      <c r="I75" s="213" t="e">
        <f>G75/F75*100</f>
        <v>#DIV/0!</v>
      </c>
      <c r="J75" s="115">
        <f>#N/A</f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>#N/A</f>
        <v>0</v>
      </c>
      <c r="T75" s="155" t="e">
        <f>#N/A</f>
        <v>#DIV/0!</v>
      </c>
      <c r="U75" s="107">
        <f>F75-січень!F75</f>
        <v>0</v>
      </c>
      <c r="V75" s="110">
        <f>G75-січень!G75</f>
        <v>0</v>
      </c>
      <c r="W75" s="111">
        <f>#N/A</f>
        <v>0</v>
      </c>
      <c r="X75" s="155" t="e">
        <f>#N/A</f>
        <v>#DIV/0!</v>
      </c>
      <c r="Y75" s="197" t="e">
        <f>#N/A</f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0</v>
      </c>
      <c r="G76" s="106">
        <v>0</v>
      </c>
      <c r="H76" s="102">
        <f>#N/A</f>
        <v>0</v>
      </c>
      <c r="I76" s="213" t="e">
        <f>G76/F76</f>
        <v>#DIV/0!</v>
      </c>
      <c r="J76" s="115">
        <f>#N/A</f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>#N/A</f>
        <v>-32.89</v>
      </c>
      <c r="T76" s="155">
        <f>#N/A</f>
        <v>0</v>
      </c>
      <c r="U76" s="107">
        <f>F76-січень!F76</f>
        <v>0</v>
      </c>
      <c r="V76" s="110">
        <f>G76-січень!G76</f>
        <v>0</v>
      </c>
      <c r="W76" s="111">
        <f>#N/A</f>
        <v>0</v>
      </c>
      <c r="X76" s="155" t="e">
        <f>#N/A</f>
        <v>#DIV/0!</v>
      </c>
      <c r="Y76" s="197">
        <f>#N/A</f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3">
        <v>35</v>
      </c>
      <c r="E77" s="102">
        <v>35</v>
      </c>
      <c r="F77" s="102">
        <v>6.67</v>
      </c>
      <c r="G77" s="106">
        <v>4.74</v>
      </c>
      <c r="H77" s="102">
        <f>#N/A</f>
        <v>-1.9299999999999997</v>
      </c>
      <c r="I77" s="213">
        <f>G77/F77</f>
        <v>0.7106446776611695</v>
      </c>
      <c r="J77" s="115">
        <f>#N/A</f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8.6</v>
      </c>
      <c r="S77" s="115">
        <f>#N/A</f>
        <v>-3.8599999999999994</v>
      </c>
      <c r="T77" s="155">
        <f>#N/A</f>
        <v>0.5511627906976745</v>
      </c>
      <c r="U77" s="107">
        <f>F77-січень!F77</f>
        <v>2.9</v>
      </c>
      <c r="V77" s="110">
        <f>G77-січень!G77</f>
        <v>0.9700000000000002</v>
      </c>
      <c r="W77" s="111">
        <f>#N/A</f>
        <v>-1.9299999999999997</v>
      </c>
      <c r="X77" s="155">
        <f>#N/A</f>
        <v>0.3344827586206897</v>
      </c>
      <c r="Y77" s="197">
        <f>#N/A</f>
        <v>-0.4716308972041373</v>
      </c>
    </row>
    <row r="78" spans="1:25" s="6" customFormat="1" ht="30.75">
      <c r="A78" s="8"/>
      <c r="B78" s="89" t="s">
        <v>49</v>
      </c>
      <c r="C78" s="34">
        <v>31020000</v>
      </c>
      <c r="D78" s="229"/>
      <c r="E78" s="102">
        <v>0</v>
      </c>
      <c r="F78" s="102">
        <f>E78</f>
        <v>0</v>
      </c>
      <c r="G78" s="106">
        <v>0.11</v>
      </c>
      <c r="H78" s="102">
        <f>#N/A</f>
        <v>0.11</v>
      </c>
      <c r="I78" s="213" t="e">
        <f>G78/F78</f>
        <v>#DIV/0!</v>
      </c>
      <c r="J78" s="115">
        <f>#N/A</f>
        <v>0.11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>#N/A</f>
        <v>5.44</v>
      </c>
      <c r="T78" s="155">
        <f>#N/A</f>
        <v>-0.020637898686679174</v>
      </c>
      <c r="U78" s="107">
        <f>F78-січень!F78</f>
        <v>0</v>
      </c>
      <c r="V78" s="110">
        <f>G78-січень!G78</f>
        <v>0.11</v>
      </c>
      <c r="W78" s="111">
        <f>#N/A</f>
        <v>0.11</v>
      </c>
      <c r="X78" s="155"/>
      <c r="Y78" s="197">
        <f>#N/A</f>
        <v>-0.020637898686679174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248803.65700000004</v>
      </c>
      <c r="G79" s="103">
        <f>G8+G53+G77+G78</f>
        <v>248842.44999999995</v>
      </c>
      <c r="H79" s="103">
        <f>G79-F79</f>
        <v>38.79299999991781</v>
      </c>
      <c r="I79" s="210">
        <f>G79/F79</f>
        <v>1.0001559181262352</v>
      </c>
      <c r="J79" s="104">
        <f>G79-E79</f>
        <v>-1379075.25</v>
      </c>
      <c r="K79" s="156">
        <f>G79/E79</f>
        <v>0.15285935523644711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203526.37</v>
      </c>
      <c r="S79" s="104">
        <f>G79-R79</f>
        <v>45316.07999999996</v>
      </c>
      <c r="T79" s="156">
        <f>G79/R79</f>
        <v>1.2226545877077253</v>
      </c>
      <c r="U79" s="103">
        <f>U8+U53+U77+U78</f>
        <v>133525.108</v>
      </c>
      <c r="V79" s="103">
        <f>V8+V53+V77+V78</f>
        <v>133563.91</v>
      </c>
      <c r="W79" s="135">
        <f>V79-U79</f>
        <v>38.80199999999604</v>
      </c>
      <c r="X79" s="156">
        <f>V79/U79</f>
        <v>1.0002905970313838</v>
      </c>
      <c r="Y79" s="197">
        <f>#N/A</f>
        <v>0.05902212219026426</v>
      </c>
    </row>
    <row r="80" spans="1:25" s="39" customFormat="1" ht="17.25" hidden="1">
      <c r="A80" s="36"/>
      <c r="B80" s="43"/>
      <c r="C80" s="51"/>
      <c r="D80" s="239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>#N/A</f>
        <v>0</v>
      </c>
    </row>
    <row r="81" spans="1:25" s="39" customFormat="1" ht="17.25" hidden="1">
      <c r="A81" s="36"/>
      <c r="B81" s="44"/>
      <c r="C81" s="51"/>
      <c r="D81" s="239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>#N/A</f>
        <v>0</v>
      </c>
    </row>
    <row r="82" spans="1:25" s="39" customFormat="1" ht="17.25" hidden="1">
      <c r="A82" s="36"/>
      <c r="B82" s="44"/>
      <c r="C82" s="51"/>
      <c r="D82" s="239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>#N/A</f>
        <v>0</v>
      </c>
    </row>
    <row r="83" spans="2:25" ht="15">
      <c r="B83" s="19" t="s">
        <v>91</v>
      </c>
      <c r="C83" s="52"/>
      <c r="D83" s="240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>#N/A</f>
        <v>0</v>
      </c>
    </row>
    <row r="84" spans="2:25" ht="25.5" customHeight="1" hidden="1">
      <c r="B84" s="165" t="s">
        <v>87</v>
      </c>
      <c r="C84" s="90">
        <v>12020000</v>
      </c>
      <c r="D84" s="241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F84-січень!F84</f>
        <v>0</v>
      </c>
      <c r="V84" s="110">
        <f>G84-січень!G84</f>
        <v>0</v>
      </c>
      <c r="W84" s="117"/>
      <c r="X84" s="147"/>
      <c r="Y84" s="197" t="e">
        <f>#N/A</f>
        <v>#DIV/0!</v>
      </c>
    </row>
    <row r="85" spans="2:25" ht="31.5" hidden="1">
      <c r="B85" s="20" t="s">
        <v>52</v>
      </c>
      <c r="C85" s="58">
        <v>18041500</v>
      </c>
      <c r="D85" s="242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F85-січень!F85</f>
        <v>0</v>
      </c>
      <c r="V85" s="110">
        <f>G85-січень!G85</f>
        <v>0</v>
      </c>
      <c r="W85" s="117">
        <f>V85-U85</f>
        <v>0</v>
      </c>
      <c r="X85" s="147"/>
      <c r="Y85" s="197" t="e">
        <f>#N/A</f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>#N/A</f>
        <v>0.01</v>
      </c>
      <c r="T86" s="151" t="e">
        <f>#N/A</f>
        <v>#DIV/0!</v>
      </c>
      <c r="U86" s="129">
        <f>F86-січень!F86</f>
        <v>0</v>
      </c>
      <c r="V86" s="174">
        <f>G86-січень!G86</f>
        <v>0</v>
      </c>
      <c r="W86" s="131">
        <f>V86-U86</f>
        <v>0</v>
      </c>
      <c r="X86" s="151"/>
      <c r="Y86" s="197" t="e">
        <f>#N/A</f>
        <v>#DIV/0!</v>
      </c>
    </row>
    <row r="87" spans="2:25" ht="45.75" hidden="1">
      <c r="B87" s="22" t="s">
        <v>32</v>
      </c>
      <c r="C87" s="90">
        <v>21110000</v>
      </c>
      <c r="D87" s="241">
        <v>0</v>
      </c>
      <c r="E87" s="127">
        <v>0</v>
      </c>
      <c r="F87" s="127">
        <v>0</v>
      </c>
      <c r="G87" s="128">
        <v>0</v>
      </c>
      <c r="H87" s="129">
        <f>#N/A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>#N/A</f>
        <v>-35.57</v>
      </c>
      <c r="Q87" s="151">
        <f>#N/A</f>
        <v>0</v>
      </c>
      <c r="R87" s="131">
        <v>11.81</v>
      </c>
      <c r="S87" s="131">
        <f>#N/A</f>
        <v>-11.81</v>
      </c>
      <c r="T87" s="147"/>
      <c r="U87" s="129">
        <f>F87-січень!F87</f>
        <v>0</v>
      </c>
      <c r="V87" s="174">
        <f>G87-січень!G87</f>
        <v>0</v>
      </c>
      <c r="W87" s="131">
        <f>#N/A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6">
        <v>5000</v>
      </c>
      <c r="E88" s="125">
        <v>5000</v>
      </c>
      <c r="F88" s="125">
        <v>806.429</v>
      </c>
      <c r="G88" s="126">
        <v>806.44</v>
      </c>
      <c r="H88" s="112">
        <f>#N/A</f>
        <v>0.011000000000080945</v>
      </c>
      <c r="I88" s="213">
        <f>G88/F88</f>
        <v>1.0000136403824764</v>
      </c>
      <c r="J88" s="117">
        <f>G88-E88</f>
        <v>-4193.5599999999995</v>
      </c>
      <c r="K88" s="147">
        <f>G88/E88</f>
        <v>0.16128800000000001</v>
      </c>
      <c r="L88" s="117"/>
      <c r="M88" s="117"/>
      <c r="N88" s="117"/>
      <c r="O88" s="117">
        <v>938.14</v>
      </c>
      <c r="P88" s="117">
        <f>#N/A</f>
        <v>4061.86</v>
      </c>
      <c r="Q88" s="147">
        <f>#N/A</f>
        <v>5.329694928262306</v>
      </c>
      <c r="R88" s="117">
        <v>0.04</v>
      </c>
      <c r="S88" s="117">
        <f>#N/A</f>
        <v>806.4000000000001</v>
      </c>
      <c r="T88" s="147">
        <f>#N/A</f>
        <v>20161</v>
      </c>
      <c r="U88" s="112">
        <f>F88-січень!F88</f>
        <v>0</v>
      </c>
      <c r="V88" s="118">
        <f>G88-січень!G88</f>
        <v>0.010000000000104592</v>
      </c>
      <c r="W88" s="117">
        <f>#N/A</f>
        <v>0.010000000000104592</v>
      </c>
      <c r="X88" s="147" t="e">
        <f>V88/U88</f>
        <v>#DIV/0!</v>
      </c>
      <c r="Y88" s="197">
        <f>#N/A</f>
        <v>20155.670305071737</v>
      </c>
    </row>
    <row r="89" spans="2:25" ht="18">
      <c r="B89" s="20" t="s">
        <v>29</v>
      </c>
      <c r="C89" s="58">
        <v>33010000</v>
      </c>
      <c r="D89" s="256">
        <v>16449</v>
      </c>
      <c r="E89" s="125">
        <v>16449</v>
      </c>
      <c r="F89" s="125">
        <v>1015</v>
      </c>
      <c r="G89" s="126">
        <v>194.45</v>
      </c>
      <c r="H89" s="112">
        <f>#N/A</f>
        <v>-820.55</v>
      </c>
      <c r="I89" s="213">
        <f>G89/F89</f>
        <v>0.19157635467980294</v>
      </c>
      <c r="J89" s="117">
        <f>#N/A</f>
        <v>-16254.55</v>
      </c>
      <c r="K89" s="147">
        <f>G89/E89</f>
        <v>0.011821387318378016</v>
      </c>
      <c r="L89" s="117"/>
      <c r="M89" s="117"/>
      <c r="N89" s="117"/>
      <c r="O89" s="117">
        <v>8143.65</v>
      </c>
      <c r="P89" s="117">
        <f>#N/A</f>
        <v>8305.35</v>
      </c>
      <c r="Q89" s="147">
        <f>#N/A</f>
        <v>2.0198559613932328</v>
      </c>
      <c r="R89" s="117">
        <v>1.9</v>
      </c>
      <c r="S89" s="117">
        <f>#N/A</f>
        <v>192.54999999999998</v>
      </c>
      <c r="T89" s="147">
        <f>#N/A</f>
        <v>102.34210526315789</v>
      </c>
      <c r="U89" s="112">
        <f>F89-січень!F89</f>
        <v>1000</v>
      </c>
      <c r="V89" s="118">
        <f>G89-січень!G89</f>
        <v>179.45</v>
      </c>
      <c r="W89" s="117">
        <f>#N/A</f>
        <v>-820.55</v>
      </c>
      <c r="X89" s="147">
        <f>V89/U89</f>
        <v>0.17945</v>
      </c>
      <c r="Y89" s="197">
        <f>#N/A</f>
        <v>100.32224930176466</v>
      </c>
    </row>
    <row r="90" spans="2:25" ht="31.5">
      <c r="B90" s="20" t="s">
        <v>48</v>
      </c>
      <c r="C90" s="58">
        <v>24170000</v>
      </c>
      <c r="D90" s="256">
        <v>22000</v>
      </c>
      <c r="E90" s="125">
        <v>22000</v>
      </c>
      <c r="F90" s="125">
        <v>3000</v>
      </c>
      <c r="G90" s="126">
        <v>331.15</v>
      </c>
      <c r="H90" s="112">
        <f>#N/A</f>
        <v>-2668.85</v>
      </c>
      <c r="I90" s="213">
        <f>G90/F90</f>
        <v>0.11038333333333332</v>
      </c>
      <c r="J90" s="117">
        <f>#N/A</f>
        <v>-21668.85</v>
      </c>
      <c r="K90" s="147">
        <f>G90/E90</f>
        <v>0.015052272727272727</v>
      </c>
      <c r="L90" s="117"/>
      <c r="M90" s="117"/>
      <c r="N90" s="117"/>
      <c r="O90" s="117">
        <v>17305.88</v>
      </c>
      <c r="P90" s="117">
        <f>#N/A</f>
        <v>4694.119999999999</v>
      </c>
      <c r="Q90" s="147">
        <f>#N/A</f>
        <v>1.2712442245063527</v>
      </c>
      <c r="R90" s="117">
        <v>90.12</v>
      </c>
      <c r="S90" s="117">
        <f>#N/A</f>
        <v>241.02999999999997</v>
      </c>
      <c r="T90" s="147">
        <f>#N/A</f>
        <v>3.674545051043053</v>
      </c>
      <c r="U90" s="112">
        <f>F90-січень!F90</f>
        <v>2843</v>
      </c>
      <c r="V90" s="118">
        <f>G90-січень!G90</f>
        <v>174.14</v>
      </c>
      <c r="W90" s="117">
        <f>#N/A</f>
        <v>-2668.86</v>
      </c>
      <c r="X90" s="147">
        <f>V90/U90</f>
        <v>0.06125219838199085</v>
      </c>
      <c r="Y90" s="197">
        <f>#N/A</f>
        <v>2.4033008265367</v>
      </c>
    </row>
    <row r="91" spans="2:25" ht="18">
      <c r="B91" s="20" t="s">
        <v>88</v>
      </c>
      <c r="C91" s="58">
        <v>24110700</v>
      </c>
      <c r="D91" s="256">
        <v>24</v>
      </c>
      <c r="E91" s="125">
        <v>24</v>
      </c>
      <c r="F91" s="125">
        <v>4</v>
      </c>
      <c r="G91" s="126">
        <v>2</v>
      </c>
      <c r="H91" s="112">
        <f>#N/A</f>
        <v>-2</v>
      </c>
      <c r="I91" s="213">
        <f>G91/F91</f>
        <v>0.5</v>
      </c>
      <c r="J91" s="117">
        <f>#N/A</f>
        <v>-22</v>
      </c>
      <c r="K91" s="147">
        <f>G91/E91</f>
        <v>0.08333333333333333</v>
      </c>
      <c r="L91" s="117"/>
      <c r="M91" s="117"/>
      <c r="N91" s="117"/>
      <c r="O91" s="117">
        <v>20</v>
      </c>
      <c r="P91" s="117">
        <f>#N/A</f>
        <v>4</v>
      </c>
      <c r="Q91" s="147">
        <f>#N/A</f>
        <v>1.2</v>
      </c>
      <c r="R91" s="117">
        <v>1</v>
      </c>
      <c r="S91" s="117">
        <f>#N/A</f>
        <v>1</v>
      </c>
      <c r="T91" s="147">
        <f>#N/A</f>
        <v>2</v>
      </c>
      <c r="U91" s="112">
        <f>F91-січень!F91</f>
        <v>3</v>
      </c>
      <c r="V91" s="118">
        <f>G91-січень!G91</f>
        <v>1</v>
      </c>
      <c r="W91" s="117">
        <f>#N/A</f>
        <v>-2</v>
      </c>
      <c r="X91" s="147">
        <f>V91/U91</f>
        <v>0.3333333333333333</v>
      </c>
      <c r="Y91" s="197">
        <f>#N/A</f>
        <v>0.8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4825.429</v>
      </c>
      <c r="G92" s="128">
        <f>G88+G89+G90+G91</f>
        <v>1334.04</v>
      </c>
      <c r="H92" s="129">
        <f>#N/A</f>
        <v>-3491.389</v>
      </c>
      <c r="I92" s="216">
        <f>G92/F92</f>
        <v>0.27646039346967904</v>
      </c>
      <c r="J92" s="131">
        <f>#N/A</f>
        <v>-42138.96</v>
      </c>
      <c r="K92" s="151">
        <f>G92/E92</f>
        <v>0.030686633082602995</v>
      </c>
      <c r="L92" s="131"/>
      <c r="M92" s="131"/>
      <c r="N92" s="131"/>
      <c r="O92" s="131">
        <v>26407.66</v>
      </c>
      <c r="P92" s="131">
        <f>#N/A</f>
        <v>17065.34</v>
      </c>
      <c r="Q92" s="151">
        <f>#N/A</f>
        <v>1.6462268902280626</v>
      </c>
      <c r="R92" s="131">
        <v>93.06</v>
      </c>
      <c r="S92" s="117">
        <f>#N/A</f>
        <v>1240.98</v>
      </c>
      <c r="T92" s="147">
        <f>#N/A</f>
        <v>14.335267569310123</v>
      </c>
      <c r="U92" s="129">
        <f>F92-січень!F92</f>
        <v>3846</v>
      </c>
      <c r="V92" s="174">
        <f>G92-січень!G92</f>
        <v>354.6</v>
      </c>
      <c r="W92" s="131">
        <f>#N/A</f>
        <v>-3491.4</v>
      </c>
      <c r="X92" s="151">
        <f>V92/U92</f>
        <v>0.09219968798751951</v>
      </c>
      <c r="Y92" s="197">
        <f>#N/A</f>
        <v>12.68904067908206</v>
      </c>
      <c r="AB92" s="4" t="s">
        <v>202</v>
      </c>
    </row>
    <row r="93" spans="2:25" ht="46.5">
      <c r="B93" s="12" t="s">
        <v>35</v>
      </c>
      <c r="C93" s="60">
        <v>24062100</v>
      </c>
      <c r="D93" s="257">
        <v>43</v>
      </c>
      <c r="E93" s="125">
        <v>43</v>
      </c>
      <c r="F93" s="125">
        <v>3</v>
      </c>
      <c r="G93" s="126">
        <v>0.02</v>
      </c>
      <c r="H93" s="112">
        <f>#N/A</f>
        <v>-2.98</v>
      </c>
      <c r="I93" s="213"/>
      <c r="J93" s="117">
        <f>#N/A</f>
        <v>-42.98</v>
      </c>
      <c r="K93" s="147"/>
      <c r="L93" s="117"/>
      <c r="M93" s="117"/>
      <c r="N93" s="117"/>
      <c r="O93" s="117">
        <v>49.17</v>
      </c>
      <c r="P93" s="117">
        <f>#N/A</f>
        <v>-6.170000000000002</v>
      </c>
      <c r="Q93" s="147">
        <f>#N/A</f>
        <v>0.8745169818995322</v>
      </c>
      <c r="R93" s="117">
        <v>0</v>
      </c>
      <c r="S93" s="117">
        <f>#N/A</f>
        <v>0.02</v>
      </c>
      <c r="T93" s="147" t="e">
        <f>#N/A</f>
        <v>#DIV/0!</v>
      </c>
      <c r="U93" s="112">
        <f>F93-січень!F93</f>
        <v>3</v>
      </c>
      <c r="V93" s="118">
        <f>G93-січень!G93</f>
        <v>0.01</v>
      </c>
      <c r="W93" s="117">
        <f>#N/A</f>
        <v>-2.99</v>
      </c>
      <c r="X93" s="147"/>
      <c r="Y93" s="197" t="e">
        <f>#N/A</f>
        <v>#DIV/0!</v>
      </c>
    </row>
    <row r="94" spans="2:25" ht="18" hidden="1">
      <c r="B94" s="166" t="s">
        <v>47</v>
      </c>
      <c r="C94" s="58">
        <v>24061600</v>
      </c>
      <c r="D94" s="256"/>
      <c r="E94" s="125">
        <v>0</v>
      </c>
      <c r="F94" s="125">
        <f>E94</f>
        <v>0</v>
      </c>
      <c r="G94" s="126">
        <v>0</v>
      </c>
      <c r="H94" s="112">
        <f>#N/A</f>
        <v>0</v>
      </c>
      <c r="I94" s="213"/>
      <c r="J94" s="117">
        <f>#N/A</f>
        <v>0</v>
      </c>
      <c r="K94" s="224"/>
      <c r="L94" s="134"/>
      <c r="M94" s="134"/>
      <c r="N94" s="134"/>
      <c r="O94" s="134"/>
      <c r="P94" s="117">
        <f>#N/A</f>
        <v>0</v>
      </c>
      <c r="Q94" s="147" t="e">
        <f>#N/A</f>
        <v>#DIV/0!</v>
      </c>
      <c r="R94" s="117">
        <f>O94</f>
        <v>0</v>
      </c>
      <c r="S94" s="117">
        <f>#N/A</f>
        <v>0</v>
      </c>
      <c r="T94" s="147" t="e">
        <f>#N/A</f>
        <v>#DIV/0!</v>
      </c>
      <c r="U94" s="112">
        <f>F94-січень!F94</f>
        <v>0</v>
      </c>
      <c r="V94" s="118">
        <f>G94-січень!G94</f>
        <v>0</v>
      </c>
      <c r="W94" s="117">
        <f>#N/A</f>
        <v>0</v>
      </c>
      <c r="X94" s="224"/>
      <c r="Y94" s="197" t="e">
        <f>#N/A</f>
        <v>#DIV/0!</v>
      </c>
    </row>
    <row r="95" spans="2:25" ht="18">
      <c r="B95" s="20" t="s">
        <v>41</v>
      </c>
      <c r="C95" s="58">
        <v>19010000</v>
      </c>
      <c r="D95" s="256">
        <v>9050</v>
      </c>
      <c r="E95" s="125">
        <v>9050</v>
      </c>
      <c r="F95" s="125">
        <v>2818.75</v>
      </c>
      <c r="G95" s="126">
        <v>2378.24</v>
      </c>
      <c r="H95" s="112">
        <f>#N/A</f>
        <v>-440.5100000000002</v>
      </c>
      <c r="I95" s="213">
        <f>G95/F95</f>
        <v>0.8437215077605321</v>
      </c>
      <c r="J95" s="117">
        <f>#N/A</f>
        <v>-6671.76</v>
      </c>
      <c r="K95" s="147">
        <f>G95/E95</f>
        <v>0.26278895027624305</v>
      </c>
      <c r="L95" s="117"/>
      <c r="M95" s="117"/>
      <c r="N95" s="117"/>
      <c r="O95" s="117">
        <v>8033.94</v>
      </c>
      <c r="P95" s="117">
        <f>#N/A</f>
        <v>1016.0600000000004</v>
      </c>
      <c r="Q95" s="147">
        <f>#N/A</f>
        <v>1.1264709470073215</v>
      </c>
      <c r="R95" s="117">
        <v>11.48</v>
      </c>
      <c r="S95" s="117">
        <f>#N/A</f>
        <v>2366.7599999999998</v>
      </c>
      <c r="T95" s="147">
        <f>#N/A</f>
        <v>207.16376306620205</v>
      </c>
      <c r="U95" s="112">
        <f>F95-січень!F95</f>
        <v>2356</v>
      </c>
      <c r="V95" s="118">
        <f>G95-січень!G95</f>
        <v>1914.9999999999998</v>
      </c>
      <c r="W95" s="117">
        <f>#N/A</f>
        <v>-441.0000000000002</v>
      </c>
      <c r="X95" s="147">
        <f>V95/U95</f>
        <v>0.812818336162988</v>
      </c>
      <c r="Y95" s="197">
        <f>#N/A</f>
        <v>206.03729211919472</v>
      </c>
    </row>
    <row r="96" spans="2:25" ht="31.5" hidden="1">
      <c r="B96" s="20" t="s">
        <v>45</v>
      </c>
      <c r="C96" s="58">
        <v>19050000</v>
      </c>
      <c r="D96" s="242"/>
      <c r="E96" s="125">
        <v>0</v>
      </c>
      <c r="F96" s="125">
        <v>0</v>
      </c>
      <c r="G96" s="126">
        <v>0</v>
      </c>
      <c r="H96" s="112">
        <f>#N/A</f>
        <v>0</v>
      </c>
      <c r="I96" s="213"/>
      <c r="J96" s="117">
        <f>#N/A</f>
        <v>0</v>
      </c>
      <c r="K96" s="147"/>
      <c r="L96" s="117"/>
      <c r="M96" s="117"/>
      <c r="N96" s="117"/>
      <c r="O96" s="117">
        <v>0.1</v>
      </c>
      <c r="P96" s="117">
        <f>#N/A</f>
        <v>-0.1</v>
      </c>
      <c r="Q96" s="147">
        <f>#N/A</f>
        <v>0</v>
      </c>
      <c r="R96" s="117">
        <v>0</v>
      </c>
      <c r="S96" s="117">
        <f>#N/A</f>
        <v>0</v>
      </c>
      <c r="T96" s="147" t="e">
        <f>#N/A</f>
        <v>#DIV/0!</v>
      </c>
      <c r="U96" s="112">
        <f>F96-січень!F96</f>
        <v>0</v>
      </c>
      <c r="V96" s="118">
        <f>G96-січень!G96</f>
        <v>0</v>
      </c>
      <c r="W96" s="117">
        <f>#N/A</f>
        <v>0</v>
      </c>
      <c r="X96" s="224"/>
      <c r="Y96" s="197" t="e">
        <f>#N/A</f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2821.75</v>
      </c>
      <c r="G97" s="128">
        <f>G93+G96+G94+G95</f>
        <v>2378.2599999999998</v>
      </c>
      <c r="H97" s="129">
        <f>#N/A</f>
        <v>-443.49000000000024</v>
      </c>
      <c r="I97" s="216">
        <f>G97/F97</f>
        <v>0.8428315761495525</v>
      </c>
      <c r="J97" s="131">
        <f>#N/A</f>
        <v>-6714.74</v>
      </c>
      <c r="K97" s="151">
        <f>G97/E97</f>
        <v>0.26154844385791265</v>
      </c>
      <c r="L97" s="131"/>
      <c r="M97" s="131"/>
      <c r="N97" s="131"/>
      <c r="O97" s="131">
        <v>8083.21</v>
      </c>
      <c r="P97" s="131">
        <f>#N/A</f>
        <v>1009.79</v>
      </c>
      <c r="Q97" s="151">
        <f>#N/A</f>
        <v>1.1249243802895137</v>
      </c>
      <c r="R97" s="131">
        <v>11.82</v>
      </c>
      <c r="S97" s="117">
        <f>#N/A</f>
        <v>2366.4399999999996</v>
      </c>
      <c r="T97" s="147">
        <f>#N/A</f>
        <v>201.20642978003383</v>
      </c>
      <c r="U97" s="129">
        <f>F97-січень!F97</f>
        <v>2359</v>
      </c>
      <c r="V97" s="174">
        <f>G97-січень!G97</f>
        <v>1915.0099999999998</v>
      </c>
      <c r="W97" s="131">
        <f>#N/A</f>
        <v>-443.99000000000024</v>
      </c>
      <c r="X97" s="151">
        <f>V97/U97</f>
        <v>0.8117888935989825</v>
      </c>
      <c r="Y97" s="197">
        <f>#N/A</f>
        <v>200.08150539974432</v>
      </c>
    </row>
    <row r="98" spans="2:25" ht="30.75">
      <c r="B98" s="12" t="s">
        <v>36</v>
      </c>
      <c r="C98" s="34">
        <v>24110900</v>
      </c>
      <c r="D98" s="229">
        <v>19.413</v>
      </c>
      <c r="E98" s="125">
        <v>19.413</v>
      </c>
      <c r="F98" s="125">
        <v>3.46</v>
      </c>
      <c r="G98" s="126">
        <v>3.78</v>
      </c>
      <c r="H98" s="112">
        <f>#N/A</f>
        <v>0.31999999999999984</v>
      </c>
      <c r="I98" s="213">
        <f>G98/F98</f>
        <v>1.092485549132948</v>
      </c>
      <c r="J98" s="117">
        <f>#N/A</f>
        <v>-15.633000000000001</v>
      </c>
      <c r="K98" s="147">
        <f>G98/E98</f>
        <v>0.19471488178025034</v>
      </c>
      <c r="L98" s="117"/>
      <c r="M98" s="117"/>
      <c r="N98" s="117"/>
      <c r="O98" s="117">
        <v>37.96</v>
      </c>
      <c r="P98" s="117">
        <f>#N/A</f>
        <v>-18.547</v>
      </c>
      <c r="Q98" s="147">
        <f>#N/A</f>
        <v>0.5114067439409905</v>
      </c>
      <c r="R98" s="131">
        <v>0.34</v>
      </c>
      <c r="S98" s="117">
        <f>#N/A</f>
        <v>3.44</v>
      </c>
      <c r="T98" s="147">
        <f>#N/A</f>
        <v>11.117647058823527</v>
      </c>
      <c r="U98" s="112">
        <f>F98-січень!F98</f>
        <v>1.7644199999999999</v>
      </c>
      <c r="V98" s="118">
        <f>G98-січень!G98</f>
        <v>2.08</v>
      </c>
      <c r="W98" s="117">
        <f>#N/A</f>
        <v>0.3155800000000002</v>
      </c>
      <c r="X98" s="147">
        <f>V98/U98</f>
        <v>1.1788576416046068</v>
      </c>
      <c r="Y98" s="197">
        <f>#N/A</f>
        <v>10.606240314882537</v>
      </c>
    </row>
    <row r="99" spans="2:25" ht="18" hidden="1">
      <c r="B99" s="83"/>
      <c r="C99" s="34">
        <v>21110000</v>
      </c>
      <c r="D99" s="229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>#N/A</f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>#N/A</f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7650.639</v>
      </c>
      <c r="G100" s="183">
        <f>G86+G87+G92+G97+G98</f>
        <v>3716.0899999999997</v>
      </c>
      <c r="H100" s="184">
        <f>G100-F100</f>
        <v>-3934.5490000000004</v>
      </c>
      <c r="I100" s="217">
        <f>G100/F100</f>
        <v>0.48572282655082794</v>
      </c>
      <c r="J100" s="177">
        <f>G100-E100</f>
        <v>-48869.323000000004</v>
      </c>
      <c r="K100" s="178">
        <f>G100/E100</f>
        <v>0.07066769638188446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3599.0599999999995</v>
      </c>
      <c r="T100" s="178">
        <f>#N/A</f>
        <v>31.75331111680765</v>
      </c>
      <c r="U100" s="183">
        <f>U86+U87+U92+U97+U98</f>
        <v>6206.76442</v>
      </c>
      <c r="V100" s="183">
        <f>V86+V87+V92+V97+V98</f>
        <v>2271.6899999999996</v>
      </c>
      <c r="W100" s="177">
        <f>V100-U100</f>
        <v>-3935.074420000001</v>
      </c>
      <c r="X100" s="178">
        <f>V100/U100</f>
        <v>0.3660022914161127</v>
      </c>
      <c r="Y100" s="197">
        <f>T100-Q100</f>
        <v>30.23182037718407</v>
      </c>
    </row>
    <row r="101" spans="2:25" ht="17.25">
      <c r="B101" s="185" t="s">
        <v>103</v>
      </c>
      <c r="C101" s="182"/>
      <c r="D101" s="251">
        <f>D79+D100</f>
        <v>1680503.113</v>
      </c>
      <c r="E101" s="183">
        <f>E79+E100</f>
        <v>1680503.113</v>
      </c>
      <c r="F101" s="183">
        <f>F79+F100</f>
        <v>256454.29600000003</v>
      </c>
      <c r="G101" s="183">
        <f>G79+G100</f>
        <v>252558.53999999995</v>
      </c>
      <c r="H101" s="184">
        <f>G101-F101</f>
        <v>-3895.7560000000813</v>
      </c>
      <c r="I101" s="217">
        <f>G101/F101</f>
        <v>0.9848091606934902</v>
      </c>
      <c r="J101" s="177">
        <f>G101-E101</f>
        <v>-1427944.5729999999</v>
      </c>
      <c r="K101" s="178">
        <f>G101/E101</f>
        <v>0.1502874573966945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203643.4</v>
      </c>
      <c r="S101" s="177">
        <f>S79+S100</f>
        <v>48915.139999999956</v>
      </c>
      <c r="T101" s="178">
        <f>#N/A</f>
        <v>1.240199977018651</v>
      </c>
      <c r="U101" s="184">
        <f>U79+U100</f>
        <v>139731.87242</v>
      </c>
      <c r="V101" s="184">
        <f>V79+V100</f>
        <v>135835.6</v>
      </c>
      <c r="W101" s="177">
        <f>V101-U101</f>
        <v>-3896.272419999994</v>
      </c>
      <c r="X101" s="178">
        <f>V101/U101</f>
        <v>0.9721160795134216</v>
      </c>
      <c r="Y101" s="197">
        <f>T101-Q101</f>
        <v>0.06793987775501664</v>
      </c>
    </row>
    <row r="102" spans="2:24" ht="15" hidden="1">
      <c r="B102" s="262" t="s">
        <v>159</v>
      </c>
      <c r="D102" s="4"/>
      <c r="F102" s="78"/>
      <c r="G102" s="4"/>
      <c r="U102" s="226"/>
      <c r="V102" s="226"/>
      <c r="W102" s="226"/>
      <c r="X102" s="226"/>
    </row>
    <row r="103" spans="2:24" ht="15" hidden="1">
      <c r="B103" s="4" t="s">
        <v>160</v>
      </c>
      <c r="C103" s="264">
        <v>0</v>
      </c>
      <c r="D103" s="4" t="s">
        <v>161</v>
      </c>
      <c r="F103" s="78"/>
      <c r="G103" s="4"/>
      <c r="U103" s="226"/>
      <c r="V103" s="226"/>
      <c r="W103" s="226"/>
      <c r="X103" s="226"/>
    </row>
    <row r="104" spans="2:22" ht="30.75" hidden="1">
      <c r="B104" s="266" t="s">
        <v>162</v>
      </c>
      <c r="C104" s="267"/>
      <c r="D104" s="4" t="s">
        <v>24</v>
      </c>
      <c r="F104" s="78"/>
      <c r="G104" s="267">
        <f>IF(H79&lt;0,ABS(H79/C103),0)</f>
        <v>0</v>
      </c>
      <c r="H104" s="268"/>
      <c r="I104" s="268"/>
      <c r="J104" s="268"/>
      <c r="V104" s="267">
        <f>IF(W79&lt;0,ABS(W79/C103),0)</f>
        <v>0</v>
      </c>
    </row>
    <row r="105" spans="2:7" ht="30.75" hidden="1">
      <c r="B105" s="270" t="s">
        <v>163</v>
      </c>
      <c r="C105" s="271">
        <v>43159</v>
      </c>
      <c r="D105" s="267"/>
      <c r="E105" s="267">
        <v>14510.3</v>
      </c>
      <c r="F105" s="78"/>
      <c r="G105" s="4" t="s">
        <v>164</v>
      </c>
    </row>
    <row r="106" spans="3:10" ht="15" hidden="1">
      <c r="C106" s="271">
        <v>43158</v>
      </c>
      <c r="D106" s="267"/>
      <c r="E106" s="267">
        <v>11132</v>
      </c>
      <c r="F106" s="78"/>
      <c r="G106" s="500"/>
      <c r="H106" s="500"/>
      <c r="I106" s="273"/>
      <c r="J106" s="274"/>
    </row>
    <row r="107" spans="3:10" ht="15" hidden="1">
      <c r="C107" s="271">
        <v>43157</v>
      </c>
      <c r="D107" s="267"/>
      <c r="E107" s="267">
        <v>4296.6</v>
      </c>
      <c r="F107" s="78"/>
      <c r="G107" s="500"/>
      <c r="H107" s="500"/>
      <c r="I107" s="273"/>
      <c r="J107" s="276"/>
    </row>
    <row r="108" spans="3:10" ht="15" hidden="1">
      <c r="C108" s="271"/>
      <c r="D108" s="4"/>
      <c r="F108" s="278"/>
      <c r="G108" s="501"/>
      <c r="H108" s="501"/>
      <c r="I108" s="279"/>
      <c r="J108" s="274"/>
    </row>
    <row r="109" spans="2:10" ht="16.5" hidden="1">
      <c r="B109" s="502" t="s">
        <v>165</v>
      </c>
      <c r="C109" s="503"/>
      <c r="D109" s="280"/>
      <c r="E109" s="434">
        <v>144.8304</v>
      </c>
      <c r="F109" s="282" t="s">
        <v>166</v>
      </c>
      <c r="G109" s="500"/>
      <c r="H109" s="500"/>
      <c r="I109" s="283"/>
      <c r="J109" s="274"/>
    </row>
    <row r="110" spans="4:10" ht="15">
      <c r="D110" s="4"/>
      <c r="F110" s="278"/>
      <c r="G110" s="500"/>
      <c r="H110" s="500"/>
      <c r="I110" s="278"/>
      <c r="J110" s="281"/>
    </row>
    <row r="111" spans="2:10" ht="15" customHeight="1" hidden="1">
      <c r="B111" s="499"/>
      <c r="C111" s="499"/>
      <c r="D111" s="285"/>
      <c r="E111" s="286"/>
      <c r="F111" s="278"/>
      <c r="G111" s="500"/>
      <c r="H111" s="500"/>
      <c r="I111" s="278"/>
      <c r="J111" s="281"/>
    </row>
    <row r="112" spans="2:24" ht="15" hidden="1">
      <c r="B112" s="287" t="s">
        <v>168</v>
      </c>
      <c r="D112" s="278">
        <f>D60+D63+D64</f>
        <v>2095</v>
      </c>
      <c r="E112" s="278">
        <f>#N/A</f>
        <v>2095</v>
      </c>
      <c r="F112" s="278">
        <f>#N/A</f>
        <v>309</v>
      </c>
      <c r="G112" s="435">
        <f>#N/A</f>
        <v>305.58</v>
      </c>
      <c r="H112" s="278">
        <f>#N/A</f>
        <v>-3.4200000000000044</v>
      </c>
      <c r="I112" s="436">
        <f>G112/F112</f>
        <v>0.9889320388349514</v>
      </c>
      <c r="J112" s="278">
        <f>#N/A</f>
        <v>-1789.4199999999998</v>
      </c>
      <c r="K112" s="436">
        <f>G112/E112</f>
        <v>0.14586157517899762</v>
      </c>
      <c r="L112" s="278">
        <f>#N/A</f>
        <v>0</v>
      </c>
      <c r="M112" s="278">
        <f>#N/A</f>
        <v>0</v>
      </c>
      <c r="N112" s="278">
        <f>#N/A</f>
        <v>0</v>
      </c>
      <c r="O112" s="278">
        <f>#N/A</f>
        <v>1956.6200000000001</v>
      </c>
      <c r="P112" s="278">
        <f>#N/A</f>
        <v>138.37999999999994</v>
      </c>
      <c r="Q112" s="436">
        <f>E112/O112</f>
        <v>1.0707240036389283</v>
      </c>
      <c r="R112" s="278">
        <f>#N/A</f>
        <v>282.83</v>
      </c>
      <c r="S112" s="278">
        <f>#N/A</f>
        <v>22.75000000000001</v>
      </c>
      <c r="T112" s="436">
        <f>G112/R112</f>
        <v>1.0804370116324293</v>
      </c>
      <c r="U112" s="278">
        <f>#N/A</f>
        <v>161.81</v>
      </c>
      <c r="V112" s="288">
        <f>#N/A</f>
        <v>155.95999999999998</v>
      </c>
      <c r="W112" s="278">
        <f>#N/A</f>
        <v>-5.850000000000001</v>
      </c>
      <c r="X112" s="436">
        <f>V112/U112</f>
        <v>0.9638464866201099</v>
      </c>
    </row>
    <row r="113" spans="4:9" ht="15" hidden="1">
      <c r="D113" s="265"/>
      <c r="F113" s="78"/>
      <c r="G113" s="4"/>
      <c r="I113" s="267"/>
    </row>
    <row r="114" spans="2:10" ht="15" hidden="1">
      <c r="B114" s="4" t="s">
        <v>204</v>
      </c>
      <c r="D114" s="267">
        <f>D9+D15+D18+D19+D23+D54+D57+D59+D71+D77+D93+D95</f>
        <v>1592543.3</v>
      </c>
      <c r="E114" s="267">
        <f>E9+E15+E18+E19+E23+E54+E57+E59+E71+E77+E93+E95</f>
        <v>1592543.3</v>
      </c>
      <c r="F114" s="267">
        <f>F9+F15+F18+F19+F23+F54+F57+F59+F71+F77+F93+F95</f>
        <v>244610.469</v>
      </c>
      <c r="G114" s="289">
        <f>G9+G15+G18+G19+G23+G54+G57+G59+G71+G77+G93+G95</f>
        <v>244320.84999999995</v>
      </c>
      <c r="H114" s="267">
        <f>H9+H15+H18+H19+H23+H54+H57+H59+H71+H77+H93+H95</f>
        <v>-289.61900000001185</v>
      </c>
      <c r="I114" s="163">
        <f>G114/F114</f>
        <v>0.9988159991631427</v>
      </c>
      <c r="J114" s="267"/>
    </row>
    <row r="115" spans="2:10" ht="15" hidden="1">
      <c r="B115" s="4" t="s">
        <v>205</v>
      </c>
      <c r="D115" s="267">
        <f>D55+D58+D60+D63+D64+D65+D72+D76+D88+D89+D90+D91+D98</f>
        <v>65675.813</v>
      </c>
      <c r="E115" s="267">
        <f>E55+E58+E60+E63+E64+E65+E72+E76+E88+E89+E90+E91+E98</f>
        <v>65675.813</v>
      </c>
      <c r="F115" s="267">
        <f>F55+F58+F60+F63+F64+F65+F72+F76+F88+F89+F90+F91+F98</f>
        <v>7819.187000000001</v>
      </c>
      <c r="G115" s="289">
        <f>G55+G58+G60+G63+G64+G65+G72+G76+G88+G89+G90+G91+G98</f>
        <v>4162.04</v>
      </c>
      <c r="H115" s="267">
        <f>H55+H58+H60+H63+H64+H65+H72+H76+H88+H89+H90+H91+H98</f>
        <v>-3657.1469999999995</v>
      </c>
      <c r="I115" s="163">
        <f>G115/F115</f>
        <v>0.5322855176631535</v>
      </c>
      <c r="J115" s="267"/>
    </row>
    <row r="116" spans="2:10" ht="15" hidden="1">
      <c r="B116" s="4" t="s">
        <v>206</v>
      </c>
      <c r="D116" s="267">
        <f>D56+D62+D66+D78</f>
        <v>22284</v>
      </c>
      <c r="E116" s="267">
        <f>E56+E62+E66+E78</f>
        <v>22284</v>
      </c>
      <c r="F116" s="267">
        <f>F56+F62+F66+F78</f>
        <v>4024.64</v>
      </c>
      <c r="G116" s="289">
        <f>G56+G62+G66+G78</f>
        <v>4075.6400000000003</v>
      </c>
      <c r="H116" s="267">
        <f>H56+H62+H66+H78</f>
        <v>51.00000000000007</v>
      </c>
      <c r="I116" s="163">
        <f>G116/F116</f>
        <v>1.0126719408443987</v>
      </c>
      <c r="J116" s="267"/>
    </row>
    <row r="117" spans="2:10" ht="15" hidden="1">
      <c r="B117" s="365" t="s">
        <v>207</v>
      </c>
      <c r="C117" s="438"/>
      <c r="D117" s="439">
        <f>D114+D115+D116</f>
        <v>1680503.1130000001</v>
      </c>
      <c r="E117" s="439">
        <f>E114+E115+E116</f>
        <v>1680503.1130000001</v>
      </c>
      <c r="F117" s="439">
        <f>F114+F115+F116</f>
        <v>256454.29600000003</v>
      </c>
      <c r="G117" s="440">
        <f>G114+G115+G116</f>
        <v>252558.52999999997</v>
      </c>
      <c r="H117" s="439">
        <f>H114+H115+H116</f>
        <v>-3895.7660000000114</v>
      </c>
      <c r="I117" s="441">
        <f>G117/F117</f>
        <v>0.9848091217001876</v>
      </c>
      <c r="J117" s="267"/>
    </row>
    <row r="118" spans="4:10" ht="15" hidden="1">
      <c r="D118" s="267">
        <f>D117-D101</f>
        <v>0</v>
      </c>
      <c r="E118" s="267">
        <f>E117-E101</f>
        <v>0</v>
      </c>
      <c r="F118" s="267">
        <f>F117-F101</f>
        <v>0</v>
      </c>
      <c r="G118" s="289">
        <f>G117-G101</f>
        <v>-0.009999999980209395</v>
      </c>
      <c r="H118" s="267">
        <f>H117-H101</f>
        <v>-0.009999999930187187</v>
      </c>
      <c r="I118" s="163"/>
      <c r="J118" s="267"/>
    </row>
    <row r="119" spans="4:7" ht="15" hidden="1">
      <c r="D119" s="4"/>
      <c r="E119" s="4" t="s">
        <v>164</v>
      </c>
      <c r="F119" s="78"/>
      <c r="G119" s="4"/>
    </row>
    <row r="120" spans="2:7" ht="15" hidden="1">
      <c r="B120" s="272"/>
      <c r="D120" s="4"/>
      <c r="E120" s="267"/>
      <c r="F120" s="78"/>
      <c r="G120" s="4"/>
    </row>
    <row r="121" spans="2:8" ht="15" hidden="1">
      <c r="B121" s="272"/>
      <c r="D121" s="4"/>
      <c r="E121" s="267"/>
      <c r="F121" s="78"/>
      <c r="G121" s="4"/>
      <c r="H121" s="267"/>
    </row>
    <row r="122" spans="4:11" ht="15" hidden="1">
      <c r="D122" s="3"/>
      <c r="F122" s="78"/>
      <c r="G122" s="4"/>
      <c r="H122" s="267"/>
      <c r="I122" s="3"/>
      <c r="K122" s="3"/>
    </row>
    <row r="123" spans="2:12" ht="18" hidden="1">
      <c r="B123" s="83" t="s">
        <v>174</v>
      </c>
      <c r="C123" s="34">
        <v>25000000</v>
      </c>
      <c r="D123" s="125">
        <v>90449.655</v>
      </c>
      <c r="E123" s="458">
        <v>18102.06</v>
      </c>
      <c r="F123" s="458">
        <v>20254.32</v>
      </c>
      <c r="G123" s="459">
        <v>2152.2599999999984</v>
      </c>
      <c r="H123" s="114">
        <f>G123-F123</f>
        <v>-18102.06</v>
      </c>
      <c r="I123" s="147">
        <f>#N/A</f>
        <v>0.10626177526572102</v>
      </c>
      <c r="J123" s="117">
        <f>G123-E123</f>
        <v>-15949.800000000003</v>
      </c>
      <c r="K123" s="147">
        <f>G123/E123</f>
        <v>0.1188958604711286</v>
      </c>
      <c r="L123" s="3"/>
    </row>
    <row r="124" spans="2:12" ht="17.25" hidden="1">
      <c r="B124" s="13" t="s">
        <v>30</v>
      </c>
      <c r="C124" s="294"/>
      <c r="D124" s="295">
        <f>D123+D100</f>
        <v>143035.068</v>
      </c>
      <c r="E124" s="295">
        <f>#N/A</f>
        <v>70687.473</v>
      </c>
      <c r="F124" s="295">
        <f>#N/A</f>
        <v>27904.959</v>
      </c>
      <c r="G124" s="295">
        <f>#N/A</f>
        <v>5868.3499999999985</v>
      </c>
      <c r="H124" s="295">
        <f>#N/A</f>
        <v>-22036.609</v>
      </c>
      <c r="I124" s="447">
        <f>#N/A</f>
        <v>0.2102977467194988</v>
      </c>
      <c r="J124" s="295">
        <f>#N/A</f>
        <v>-64819.12300000001</v>
      </c>
      <c r="K124" s="447">
        <f>G124/F124</f>
        <v>0.2102977467194988</v>
      </c>
      <c r="L124" s="3"/>
    </row>
    <row r="125" spans="2:12" ht="17.25" hidden="1">
      <c r="B125" s="302" t="s">
        <v>175</v>
      </c>
      <c r="C125" s="294"/>
      <c r="D125" s="295">
        <f>D101+D123</f>
        <v>1770952.768</v>
      </c>
      <c r="E125" s="295">
        <f>#N/A</f>
        <v>1698605.173</v>
      </c>
      <c r="F125" s="295">
        <f>#N/A</f>
        <v>276708.61600000004</v>
      </c>
      <c r="G125" s="295">
        <f>#N/A</f>
        <v>254710.79999999996</v>
      </c>
      <c r="H125" s="295">
        <f>#N/A</f>
        <v>-21997.816000000083</v>
      </c>
      <c r="I125" s="447">
        <f>#N/A</f>
        <v>0.9205018755180356</v>
      </c>
      <c r="J125" s="295">
        <f>#N/A</f>
        <v>-1443894.373</v>
      </c>
      <c r="K125" s="447">
        <f>G125/F125</f>
        <v>0.9205018755180356</v>
      </c>
      <c r="L125" s="3"/>
    </row>
    <row r="126" spans="2:12" ht="15" hidden="1">
      <c r="B126" s="304" t="s">
        <v>176</v>
      </c>
      <c r="C126" s="305">
        <v>40000000</v>
      </c>
      <c r="D126" s="306">
        <v>1499675.196</v>
      </c>
      <c r="E126" s="306">
        <v>1499675.2</v>
      </c>
      <c r="F126" s="460">
        <v>322086.73</v>
      </c>
      <c r="G126" s="460"/>
      <c r="H126" s="306">
        <f>G126-F126</f>
        <v>-322086.73</v>
      </c>
      <c r="I126" s="448">
        <f>#N/A</f>
        <v>0</v>
      </c>
      <c r="J126" s="29">
        <f>G126-E126</f>
        <v>-1499675.2</v>
      </c>
      <c r="K126" s="448">
        <f>G126/E126</f>
        <v>0</v>
      </c>
      <c r="L126" s="3"/>
    </row>
    <row r="127" spans="2:12" ht="26.25" hidden="1">
      <c r="B127" s="450" t="s">
        <v>211</v>
      </c>
      <c r="C127" s="451">
        <v>41033900</v>
      </c>
      <c r="D127" s="452">
        <v>249086.1</v>
      </c>
      <c r="E127" s="453">
        <v>249086.1</v>
      </c>
      <c r="F127" s="453">
        <v>38359.2</v>
      </c>
      <c r="G127" s="452">
        <v>38359.2</v>
      </c>
      <c r="H127" s="452">
        <f>G127-F127</f>
        <v>0</v>
      </c>
      <c r="I127" s="145">
        <f>#N/A</f>
        <v>1</v>
      </c>
      <c r="J127" s="74">
        <f>G127-E127</f>
        <v>-210726.90000000002</v>
      </c>
      <c r="K127" s="145">
        <f>G127/E127</f>
        <v>0.15399976152824263</v>
      </c>
      <c r="L127" s="3"/>
    </row>
    <row r="128" spans="2:12" ht="26.25" hidden="1">
      <c r="B128" s="450" t="s">
        <v>212</v>
      </c>
      <c r="C128" s="451">
        <v>41034200</v>
      </c>
      <c r="D128" s="452">
        <v>226186</v>
      </c>
      <c r="E128" s="452">
        <v>226186</v>
      </c>
      <c r="F128" s="452">
        <v>44005.9</v>
      </c>
      <c r="G128" s="452">
        <v>44005.9</v>
      </c>
      <c r="H128" s="452">
        <f>G128-F128</f>
        <v>0</v>
      </c>
      <c r="I128" s="145">
        <f>#N/A</f>
        <v>1</v>
      </c>
      <c r="J128" s="74">
        <f>G128-E128</f>
        <v>-182180.1</v>
      </c>
      <c r="K128" s="145">
        <f>G128/E128</f>
        <v>0.19455625016579275</v>
      </c>
      <c r="L128" s="3"/>
    </row>
    <row r="129" spans="2:12" ht="15" hidden="1">
      <c r="B129" s="304" t="s">
        <v>208</v>
      </c>
      <c r="C129" s="305"/>
      <c r="D129" s="306">
        <v>0</v>
      </c>
      <c r="E129" s="306">
        <v>0</v>
      </c>
      <c r="F129" s="306">
        <v>0</v>
      </c>
      <c r="G129" s="306">
        <v>0</v>
      </c>
      <c r="H129" s="306">
        <f>G129-F129</f>
        <v>0</v>
      </c>
      <c r="I129" s="448" t="e">
        <f>#N/A</f>
        <v>#DIV/0!</v>
      </c>
      <c r="J129" s="29">
        <f>G129-E129</f>
        <v>0</v>
      </c>
      <c r="K129" s="448" t="e">
        <f>G129/E129</f>
        <v>#DIV/0!</v>
      </c>
      <c r="L129" s="3"/>
    </row>
    <row r="130" spans="2:12" ht="18" hidden="1">
      <c r="B130" s="312" t="s">
        <v>179</v>
      </c>
      <c r="C130" s="313"/>
      <c r="D130" s="314">
        <f>D125+D126+D129</f>
        <v>3270627.9639999997</v>
      </c>
      <c r="E130" s="314">
        <f>#N/A</f>
        <v>3198280.3729999997</v>
      </c>
      <c r="F130" s="314">
        <f>#N/A</f>
        <v>598795.346</v>
      </c>
      <c r="G130" s="314">
        <f>#N/A</f>
        <v>254710.79999999996</v>
      </c>
      <c r="H130" s="314">
        <f>#N/A</f>
        <v>-344084.5460000001</v>
      </c>
      <c r="I130" s="449">
        <f>#N/A</f>
        <v>0.4253720435562636</v>
      </c>
      <c r="J130" s="314">
        <f>#N/A</f>
        <v>-2943569.573</v>
      </c>
      <c r="K130" s="449">
        <f>G130/E130</f>
        <v>0.07963992217514071</v>
      </c>
      <c r="L130" s="3"/>
    </row>
    <row r="131" spans="4:7" ht="15" hidden="1">
      <c r="D131" s="4"/>
      <c r="F131" s="78"/>
      <c r="G131" s="4"/>
    </row>
    <row r="132" spans="4:7" ht="15" hidden="1">
      <c r="D132" s="4"/>
      <c r="F132" s="78"/>
      <c r="G132" s="4"/>
    </row>
    <row r="133" spans="4:7" ht="15" hidden="1">
      <c r="D133" s="267"/>
      <c r="F133" s="78"/>
      <c r="G133" s="4"/>
    </row>
    <row r="134" spans="4:7" ht="15" hidden="1">
      <c r="D134" s="267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2:7" ht="15" hidden="1">
      <c r="B137" s="320" t="s">
        <v>180</v>
      </c>
      <c r="D137" s="4"/>
      <c r="F137" s="78"/>
      <c r="G137" s="4"/>
    </row>
    <row r="138" spans="2:26" ht="30.75" hidden="1">
      <c r="B138" s="321" t="s">
        <v>181</v>
      </c>
      <c r="C138" s="322">
        <v>13010200</v>
      </c>
      <c r="D138" s="323">
        <f>D17</f>
        <v>0</v>
      </c>
      <c r="E138" s="323">
        <f>#N/A</f>
        <v>0</v>
      </c>
      <c r="F138" s="323">
        <f>#N/A</f>
        <v>0</v>
      </c>
      <c r="G138" s="323">
        <f>#N/A</f>
        <v>0</v>
      </c>
      <c r="H138" s="323">
        <f>#N/A</f>
        <v>0</v>
      </c>
      <c r="I138" s="357">
        <f>#N/A</f>
        <v>0</v>
      </c>
      <c r="J138" s="323">
        <f>#N/A</f>
        <v>0</v>
      </c>
      <c r="K138" s="357">
        <f>#N/A</f>
        <v>0</v>
      </c>
      <c r="L138" s="323">
        <f>#N/A</f>
        <v>0</v>
      </c>
      <c r="M138" s="323">
        <f>#N/A</f>
        <v>0</v>
      </c>
      <c r="N138" s="323">
        <f>#N/A</f>
        <v>0</v>
      </c>
      <c r="O138" s="323">
        <f>#N/A</f>
        <v>0.49</v>
      </c>
      <c r="P138" s="323">
        <f>#N/A</f>
        <v>-0.49</v>
      </c>
      <c r="Q138" s="357">
        <f>#N/A</f>
        <v>0</v>
      </c>
      <c r="R138" s="323">
        <f>#N/A</f>
        <v>0</v>
      </c>
      <c r="S138" s="323">
        <f>#N/A</f>
        <v>0</v>
      </c>
      <c r="T138" s="357" t="e">
        <f>#N/A</f>
        <v>#DIV/0!</v>
      </c>
      <c r="U138" s="323">
        <f>#N/A</f>
        <v>0</v>
      </c>
      <c r="V138" s="323">
        <f>#N/A</f>
        <v>0</v>
      </c>
      <c r="W138" s="323">
        <f>#N/A</f>
        <v>0</v>
      </c>
      <c r="X138" s="357">
        <f>#N/A</f>
        <v>0</v>
      </c>
      <c r="Y138" s="446" t="e">
        <f>T138-Q138</f>
        <v>#DIV/0!</v>
      </c>
      <c r="Z138" s="163"/>
    </row>
    <row r="139" spans="2:26" ht="30.75" hidden="1">
      <c r="B139" s="329" t="s">
        <v>182</v>
      </c>
      <c r="C139" s="322">
        <v>13030200</v>
      </c>
      <c r="D139" s="323">
        <f>D18</f>
        <v>235.6</v>
      </c>
      <c r="E139" s="323">
        <f>#N/A</f>
        <v>235.6</v>
      </c>
      <c r="F139" s="323">
        <f>#N/A</f>
        <v>120</v>
      </c>
      <c r="G139" s="323">
        <f>#N/A</f>
        <v>194.24</v>
      </c>
      <c r="H139" s="323">
        <f>#N/A</f>
        <v>74.24000000000001</v>
      </c>
      <c r="I139" s="357">
        <f>#N/A</f>
        <v>1.6186666666666667</v>
      </c>
      <c r="J139" s="323">
        <f>#N/A</f>
        <v>-41.359999999999985</v>
      </c>
      <c r="K139" s="357">
        <f>#N/A</f>
        <v>82.44482173174873</v>
      </c>
      <c r="L139" s="323">
        <f>#N/A</f>
        <v>0</v>
      </c>
      <c r="M139" s="323">
        <f>#N/A</f>
        <v>0</v>
      </c>
      <c r="N139" s="323">
        <f>#N/A</f>
        <v>0</v>
      </c>
      <c r="O139" s="323">
        <f>#N/A</f>
        <v>220.59</v>
      </c>
      <c r="P139" s="323">
        <f>#N/A</f>
        <v>15.009999999999991</v>
      </c>
      <c r="Q139" s="357">
        <f>#N/A</f>
        <v>1.0680447889750215</v>
      </c>
      <c r="R139" s="323">
        <f>#N/A</f>
        <v>0</v>
      </c>
      <c r="S139" s="323">
        <f>#N/A</f>
        <v>194.24</v>
      </c>
      <c r="T139" s="357" t="e">
        <f>#N/A</f>
        <v>#DIV/0!</v>
      </c>
      <c r="U139" s="323">
        <f>#N/A</f>
        <v>120</v>
      </c>
      <c r="V139" s="323">
        <f>#N/A</f>
        <v>194.24</v>
      </c>
      <c r="W139" s="323">
        <f>#N/A</f>
        <v>74.24000000000001</v>
      </c>
      <c r="X139" s="357">
        <f>#N/A</f>
        <v>1.6186666666666667</v>
      </c>
      <c r="Y139" s="446" t="e">
        <f>#N/A</f>
        <v>#DIV/0!</v>
      </c>
      <c r="Z139" s="163"/>
    </row>
    <row r="140" spans="2:26" ht="15" hidden="1">
      <c r="B140" s="331" t="s">
        <v>51</v>
      </c>
      <c r="C140" s="332">
        <v>21080500</v>
      </c>
      <c r="D140" s="333">
        <f>D56</f>
        <v>158</v>
      </c>
      <c r="E140" s="333">
        <f>#N/A</f>
        <v>158</v>
      </c>
      <c r="F140" s="333">
        <f>#N/A</f>
        <v>14</v>
      </c>
      <c r="G140" s="333">
        <f>#N/A</f>
        <v>13.23</v>
      </c>
      <c r="H140" s="333">
        <f>#N/A</f>
        <v>-0.7699999999999996</v>
      </c>
      <c r="I140" s="442">
        <f>#N/A</f>
        <v>0.9450000000000001</v>
      </c>
      <c r="J140" s="333">
        <f>#N/A</f>
        <v>-144.77</v>
      </c>
      <c r="K140" s="442">
        <f>#N/A</f>
        <v>0.08373417721518987</v>
      </c>
      <c r="L140" s="333">
        <f>#N/A</f>
        <v>0</v>
      </c>
      <c r="M140" s="333">
        <f>#N/A</f>
        <v>0</v>
      </c>
      <c r="N140" s="333">
        <f>#N/A</f>
        <v>0</v>
      </c>
      <c r="O140" s="333">
        <f>#N/A</f>
        <v>153.3</v>
      </c>
      <c r="P140" s="333">
        <f>#N/A</f>
        <v>4.699999999999989</v>
      </c>
      <c r="Q140" s="442">
        <f>#N/A</f>
        <v>1.030658838878017</v>
      </c>
      <c r="R140" s="333">
        <f>#N/A</f>
        <v>57.08</v>
      </c>
      <c r="S140" s="333">
        <f>#N/A</f>
        <v>-43.849999999999994</v>
      </c>
      <c r="T140" s="442">
        <f>#N/A</f>
        <v>0.23177995795374914</v>
      </c>
      <c r="U140" s="333">
        <f>#N/A</f>
        <v>14</v>
      </c>
      <c r="V140" s="333">
        <f>#N/A</f>
        <v>13.23</v>
      </c>
      <c r="W140" s="333">
        <f>#N/A</f>
        <v>-0.7699999999999996</v>
      </c>
      <c r="X140" s="357">
        <f>#N/A</f>
        <v>0.9450000000000001</v>
      </c>
      <c r="Y140" s="446">
        <f>#N/A</f>
        <v>-0.7988788809242677</v>
      </c>
      <c r="Z140" s="163"/>
    </row>
    <row r="141" spans="2:26" ht="30.75" hidden="1">
      <c r="B141" s="336" t="s">
        <v>34</v>
      </c>
      <c r="C141" s="337">
        <v>21080900</v>
      </c>
      <c r="D141" s="338">
        <f>D57</f>
        <v>13</v>
      </c>
      <c r="E141" s="338">
        <f>#N/A</f>
        <v>13</v>
      </c>
      <c r="F141" s="338">
        <f>#N/A</f>
        <v>3</v>
      </c>
      <c r="G141" s="338">
        <f>#N/A</f>
        <v>2.02</v>
      </c>
      <c r="H141" s="338">
        <f>#N/A</f>
        <v>-0.98</v>
      </c>
      <c r="I141" s="443">
        <f>#N/A</f>
        <v>0.6733333333333333</v>
      </c>
      <c r="J141" s="338">
        <f>#N/A</f>
        <v>-10.98</v>
      </c>
      <c r="K141" s="443">
        <f>#N/A</f>
        <v>0.1553846153846154</v>
      </c>
      <c r="L141" s="338">
        <f>#N/A</f>
        <v>0</v>
      </c>
      <c r="M141" s="338">
        <f>#N/A</f>
        <v>0</v>
      </c>
      <c r="N141" s="338">
        <f>#N/A</f>
        <v>0</v>
      </c>
      <c r="O141" s="338">
        <f>#N/A</f>
        <v>12.95</v>
      </c>
      <c r="P141" s="338">
        <f>#N/A</f>
        <v>0.05000000000000071</v>
      </c>
      <c r="Q141" s="443">
        <f>#N/A</f>
        <v>1.0038610038610039</v>
      </c>
      <c r="R141" s="338">
        <f>#N/A</f>
        <v>2.03</v>
      </c>
      <c r="S141" s="338">
        <f>#N/A</f>
        <v>-0.009999999999999787</v>
      </c>
      <c r="T141" s="443">
        <f>#N/A</f>
        <v>0</v>
      </c>
      <c r="U141" s="338">
        <f>#N/A</f>
        <v>1</v>
      </c>
      <c r="V141" s="338">
        <f>#N/A</f>
        <v>0</v>
      </c>
      <c r="W141" s="338">
        <f>#N/A</f>
        <v>-1</v>
      </c>
      <c r="X141" s="445">
        <f>#N/A</f>
        <v>0</v>
      </c>
      <c r="Y141" s="446">
        <f>#N/A</f>
        <v>-1.0038610038610039</v>
      </c>
      <c r="Z141" s="163"/>
    </row>
    <row r="142" spans="2:26" ht="15" hidden="1">
      <c r="B142" s="329" t="s">
        <v>16</v>
      </c>
      <c r="C142" s="322">
        <v>21081100</v>
      </c>
      <c r="D142" s="323">
        <f>D58</f>
        <v>744</v>
      </c>
      <c r="E142" s="323">
        <f>#N/A</f>
        <v>744</v>
      </c>
      <c r="F142" s="323">
        <f>#N/A</f>
        <v>88.43</v>
      </c>
      <c r="G142" s="323">
        <f>#N/A</f>
        <v>52.18</v>
      </c>
      <c r="H142" s="323">
        <f>#N/A</f>
        <v>-36.25000000000001</v>
      </c>
      <c r="I142" s="357">
        <f>#N/A</f>
        <v>0.5900712427909081</v>
      </c>
      <c r="J142" s="323">
        <f>#N/A</f>
        <v>-691.82</v>
      </c>
      <c r="K142" s="357">
        <f>#N/A</f>
        <v>0.07013440860215053</v>
      </c>
      <c r="L142" s="323">
        <f>#N/A</f>
        <v>0</v>
      </c>
      <c r="M142" s="323">
        <f>#N/A</f>
        <v>0</v>
      </c>
      <c r="N142" s="323">
        <f>#N/A</f>
        <v>0</v>
      </c>
      <c r="O142" s="323">
        <f>#N/A</f>
        <v>705.31</v>
      </c>
      <c r="P142" s="323">
        <f>#N/A</f>
        <v>38.690000000000055</v>
      </c>
      <c r="Q142" s="357">
        <f>#N/A</f>
        <v>1.0548553118486907</v>
      </c>
      <c r="R142" s="323">
        <f>#N/A</f>
        <v>82.08</v>
      </c>
      <c r="S142" s="323">
        <f>#N/A</f>
        <v>-29.9</v>
      </c>
      <c r="T142" s="357">
        <f>#N/A</f>
        <v>0.6357212475633528</v>
      </c>
      <c r="U142" s="323">
        <f>#N/A</f>
        <v>60.00000000000001</v>
      </c>
      <c r="V142" s="323">
        <f>#N/A</f>
        <v>23.75</v>
      </c>
      <c r="W142" s="323">
        <f>#N/A</f>
        <v>-36.25000000000001</v>
      </c>
      <c r="X142" s="357">
        <f>#N/A</f>
        <v>0.39583333333333326</v>
      </c>
      <c r="Y142" s="446">
        <f>#N/A</f>
        <v>-0.41913406428533795</v>
      </c>
      <c r="Z142" s="163"/>
    </row>
    <row r="143" spans="2:26" ht="46.5" hidden="1">
      <c r="B143" s="329" t="s">
        <v>67</v>
      </c>
      <c r="C143" s="322">
        <v>21081500</v>
      </c>
      <c r="D143" s="323">
        <f>D59</f>
        <v>115.5</v>
      </c>
      <c r="E143" s="323">
        <f>#N/A</f>
        <v>115.5</v>
      </c>
      <c r="F143" s="323">
        <f>#N/A</f>
        <v>10</v>
      </c>
      <c r="G143" s="323">
        <f>#N/A</f>
        <v>-11.58</v>
      </c>
      <c r="H143" s="323">
        <f>#N/A</f>
        <v>-21.58</v>
      </c>
      <c r="I143" s="357">
        <f>#N/A</f>
        <v>-1.158</v>
      </c>
      <c r="J143" s="323">
        <f>#N/A</f>
        <v>-127.08</v>
      </c>
      <c r="K143" s="357">
        <f>#N/A</f>
        <v>-0.10025974025974026</v>
      </c>
      <c r="L143" s="323">
        <f>#N/A</f>
        <v>0</v>
      </c>
      <c r="M143" s="323">
        <f>#N/A</f>
        <v>0</v>
      </c>
      <c r="N143" s="323">
        <f>#N/A</f>
        <v>0</v>
      </c>
      <c r="O143" s="323">
        <f>#N/A</f>
        <v>114.3</v>
      </c>
      <c r="P143" s="323">
        <f>#N/A</f>
        <v>1.2000000000000028</v>
      </c>
      <c r="Q143" s="357">
        <f>#N/A</f>
        <v>1.010498687664042</v>
      </c>
      <c r="R143" s="323">
        <f>#N/A</f>
        <v>0</v>
      </c>
      <c r="S143" s="323">
        <f>#N/A</f>
        <v>-11.58</v>
      </c>
      <c r="T143" s="357" t="e">
        <f>#N/A</f>
        <v>#DIV/0!</v>
      </c>
      <c r="U143" s="323">
        <f>#N/A</f>
        <v>10</v>
      </c>
      <c r="V143" s="323">
        <f>#N/A</f>
        <v>-5.03</v>
      </c>
      <c r="W143" s="323">
        <f>#N/A</f>
        <v>-15.030000000000001</v>
      </c>
      <c r="X143" s="357">
        <f>#N/A</f>
        <v>-0.503</v>
      </c>
      <c r="Y143" s="446" t="e">
        <f>#N/A</f>
        <v>#DIV/0!</v>
      </c>
      <c r="Z143" s="163"/>
    </row>
    <row r="144" spans="2:26" ht="46.5" hidden="1">
      <c r="B144" s="329" t="s">
        <v>17</v>
      </c>
      <c r="C144" s="322" t="s">
        <v>18</v>
      </c>
      <c r="D144" s="323">
        <f>D71</f>
        <v>3</v>
      </c>
      <c r="E144" s="323">
        <f>#N/A</f>
        <v>3</v>
      </c>
      <c r="F144" s="323">
        <f>#N/A</f>
        <v>1.5</v>
      </c>
      <c r="G144" s="323">
        <f>#N/A</f>
        <v>0</v>
      </c>
      <c r="H144" s="323">
        <f>#N/A</f>
        <v>-1.5</v>
      </c>
      <c r="I144" s="357">
        <f>#N/A</f>
        <v>0</v>
      </c>
      <c r="J144" s="323">
        <f>#N/A</f>
        <v>-3</v>
      </c>
      <c r="K144" s="357">
        <f>#N/A</f>
        <v>0</v>
      </c>
      <c r="L144" s="323">
        <f>#N/A</f>
        <v>0</v>
      </c>
      <c r="M144" s="323">
        <f>#N/A</f>
        <v>0</v>
      </c>
      <c r="N144" s="323">
        <f>#N/A</f>
        <v>0</v>
      </c>
      <c r="O144" s="323">
        <f>#N/A</f>
        <v>2.04</v>
      </c>
      <c r="P144" s="323">
        <f>#N/A</f>
        <v>0.96</v>
      </c>
      <c r="Q144" s="357">
        <f>#N/A</f>
        <v>1.4705882352941175</v>
      </c>
      <c r="R144" s="323">
        <f>#N/A</f>
        <v>1.67</v>
      </c>
      <c r="S144" s="323">
        <f>#N/A</f>
        <v>-1.67</v>
      </c>
      <c r="T144" s="357">
        <f>#N/A</f>
        <v>0</v>
      </c>
      <c r="U144" s="323">
        <f>#N/A</f>
        <v>1.5</v>
      </c>
      <c r="V144" s="323">
        <f>#N/A</f>
        <v>0</v>
      </c>
      <c r="W144" s="323">
        <f>#N/A</f>
        <v>-1.5</v>
      </c>
      <c r="X144" s="357">
        <f>#N/A</f>
        <v>0</v>
      </c>
      <c r="Y144" s="446">
        <f>#N/A</f>
        <v>-1.4705882352941175</v>
      </c>
      <c r="Z144" s="163"/>
    </row>
    <row r="145" spans="2:26" ht="30.75" hidden="1">
      <c r="B145" s="344" t="s">
        <v>39</v>
      </c>
      <c r="C145" s="322">
        <v>31010200</v>
      </c>
      <c r="D145" s="345">
        <f>D77</f>
        <v>35</v>
      </c>
      <c r="E145" s="345">
        <f>#N/A</f>
        <v>35</v>
      </c>
      <c r="F145" s="345">
        <f>#N/A</f>
        <v>6.67</v>
      </c>
      <c r="G145" s="345">
        <f>#N/A</f>
        <v>4.74</v>
      </c>
      <c r="H145" s="345">
        <f>#N/A</f>
        <v>-1.9299999999999997</v>
      </c>
      <c r="I145" s="444">
        <f>#N/A</f>
        <v>0.7106446776611695</v>
      </c>
      <c r="J145" s="345">
        <f>#N/A</f>
        <v>-30.259999999999998</v>
      </c>
      <c r="K145" s="444">
        <f>#N/A</f>
        <v>0.13542857142857143</v>
      </c>
      <c r="L145" s="345">
        <f>#N/A</f>
        <v>0</v>
      </c>
      <c r="M145" s="345">
        <f>#N/A</f>
        <v>0</v>
      </c>
      <c r="N145" s="345">
        <f>#N/A</f>
        <v>0</v>
      </c>
      <c r="O145" s="345">
        <f>#N/A</f>
        <v>34.22</v>
      </c>
      <c r="P145" s="345">
        <f>#N/A</f>
        <v>0.7800000000000011</v>
      </c>
      <c r="Q145" s="444">
        <f>#N/A</f>
        <v>1.0227936879018118</v>
      </c>
      <c r="R145" s="345">
        <f>#N/A</f>
        <v>8.6</v>
      </c>
      <c r="S145" s="345">
        <f>#N/A</f>
        <v>-3.8599999999999994</v>
      </c>
      <c r="T145" s="444">
        <f>#N/A</f>
        <v>0.5511627906976745</v>
      </c>
      <c r="U145" s="345">
        <f>#N/A</f>
        <v>2.9</v>
      </c>
      <c r="V145" s="345">
        <f>#N/A</f>
        <v>0.9700000000000002</v>
      </c>
      <c r="W145" s="345">
        <f>#N/A</f>
        <v>-1.9299999999999997</v>
      </c>
      <c r="X145" s="444">
        <f>#N/A</f>
        <v>0.3344827586206897</v>
      </c>
      <c r="Y145" s="446">
        <f>#N/A</f>
        <v>-0.4716308972041373</v>
      </c>
      <c r="Z145" s="163"/>
    </row>
    <row r="146" spans="2:26" ht="30.75" hidden="1">
      <c r="B146" s="344" t="s">
        <v>49</v>
      </c>
      <c r="C146" s="322">
        <v>31020000</v>
      </c>
      <c r="D146" s="345">
        <f>D78</f>
        <v>0</v>
      </c>
      <c r="E146" s="345">
        <f>#N/A</f>
        <v>0</v>
      </c>
      <c r="F146" s="345">
        <f>#N/A</f>
        <v>0</v>
      </c>
      <c r="G146" s="345">
        <f>#N/A</f>
        <v>0.11</v>
      </c>
      <c r="H146" s="345">
        <f>#N/A</f>
        <v>0.11</v>
      </c>
      <c r="I146" s="444" t="e">
        <f>#N/A</f>
        <v>#DIV/0!</v>
      </c>
      <c r="J146" s="345">
        <f>#N/A</f>
        <v>0.11</v>
      </c>
      <c r="K146" s="444">
        <f>#N/A</f>
        <v>0</v>
      </c>
      <c r="L146" s="345">
        <f>#N/A</f>
        <v>0</v>
      </c>
      <c r="M146" s="345">
        <f>#N/A</f>
        <v>0</v>
      </c>
      <c r="N146" s="345">
        <f>#N/A</f>
        <v>0</v>
      </c>
      <c r="O146" s="345">
        <f>#N/A</f>
        <v>-4.86</v>
      </c>
      <c r="P146" s="345">
        <f>#N/A</f>
        <v>4.86</v>
      </c>
      <c r="Q146" s="444">
        <f>#N/A</f>
        <v>0</v>
      </c>
      <c r="R146" s="345">
        <f>#N/A</f>
        <v>-5.33</v>
      </c>
      <c r="S146" s="345">
        <f>#N/A</f>
        <v>5.44</v>
      </c>
      <c r="T146" s="444">
        <f>#N/A</f>
        <v>-0.020637898686679174</v>
      </c>
      <c r="U146" s="345">
        <f>#N/A</f>
        <v>0</v>
      </c>
      <c r="V146" s="345">
        <f>#N/A</f>
        <v>0.11</v>
      </c>
      <c r="W146" s="345">
        <f>#N/A</f>
        <v>0.11</v>
      </c>
      <c r="X146" s="444">
        <f>#N/A</f>
        <v>0</v>
      </c>
      <c r="Y146" s="446">
        <f>#N/A</f>
        <v>-0.020637898686679174</v>
      </c>
      <c r="Z146" s="163"/>
    </row>
    <row r="147" spans="4:26" ht="15" hidden="1">
      <c r="D147" s="351">
        <f>SUM(D138:D146)</f>
        <v>1304.1</v>
      </c>
      <c r="E147" s="351">
        <f>SUM(E138:E146)</f>
        <v>1304.1</v>
      </c>
      <c r="F147" s="351">
        <f>SUM(F138:F146)</f>
        <v>243.6</v>
      </c>
      <c r="G147" s="351">
        <f>SUM(G138:G146)</f>
        <v>254.94000000000003</v>
      </c>
      <c r="H147" s="351">
        <f>SUM(H138:H146)</f>
        <v>11.340000000000003</v>
      </c>
      <c r="I147" s="189">
        <f>G147/F147</f>
        <v>1.0465517241379312</v>
      </c>
      <c r="J147" s="351">
        <f>G147-E147</f>
        <v>-1049.1599999999999</v>
      </c>
      <c r="K147" s="441">
        <f>G147/E147</f>
        <v>0.1954911433172303</v>
      </c>
      <c r="O147" s="351">
        <f>SUM(O138:O146)</f>
        <v>1238.34</v>
      </c>
      <c r="P147" s="351">
        <f>SUM(P138:P146)</f>
        <v>65.76000000000005</v>
      </c>
      <c r="Q147" s="189">
        <f>E147/O147</f>
        <v>1.053103348030428</v>
      </c>
      <c r="R147" s="351">
        <f>SUM(R138:R146)</f>
        <v>146.12999999999997</v>
      </c>
      <c r="S147" s="351">
        <f>SUM(S138:S146)</f>
        <v>108.81000000000002</v>
      </c>
      <c r="T147" s="189">
        <f>G147/R147</f>
        <v>1.7446109628413062</v>
      </c>
      <c r="U147" s="351">
        <f>SUM(U138:U146)</f>
        <v>209.4</v>
      </c>
      <c r="V147" s="351">
        <f>SUM(V138:V146)</f>
        <v>227.27</v>
      </c>
      <c r="W147" s="351">
        <f>SUM(W138:W146)</f>
        <v>17.870000000000005</v>
      </c>
      <c r="X147" s="189">
        <f>V147/U147</f>
        <v>1.0853390639923592</v>
      </c>
      <c r="Y147" s="189">
        <f>#N/A</f>
        <v>0.6915076148108783</v>
      </c>
      <c r="Z147" s="163"/>
    </row>
    <row r="148" spans="4:25" ht="15" hidden="1">
      <c r="D148" s="4"/>
      <c r="F148" s="78"/>
      <c r="G148" s="4"/>
      <c r="Y148" s="189"/>
    </row>
    <row r="149" spans="2:25" ht="15" hidden="1">
      <c r="B149" s="354" t="s">
        <v>183</v>
      </c>
      <c r="D149" s="4"/>
      <c r="F149" s="78"/>
      <c r="G149" s="4"/>
      <c r="Y149" s="189"/>
    </row>
    <row r="150" spans="2:25" ht="30.75" hidden="1">
      <c r="B150" s="355" t="s">
        <v>89</v>
      </c>
      <c r="C150" s="356">
        <v>22010300</v>
      </c>
      <c r="D150" s="323">
        <f>D60</f>
        <v>1284</v>
      </c>
      <c r="E150" s="323">
        <f>#N/A</f>
        <v>1284</v>
      </c>
      <c r="F150" s="323">
        <f>#N/A</f>
        <v>184</v>
      </c>
      <c r="G150" s="323">
        <f>#N/A</f>
        <v>177.19</v>
      </c>
      <c r="H150" s="323">
        <f>#N/A</f>
        <v>-6.810000000000002</v>
      </c>
      <c r="I150" s="357">
        <f>#N/A</f>
        <v>0.9629891304347826</v>
      </c>
      <c r="J150" s="323">
        <f>#N/A</f>
        <v>-1106.81</v>
      </c>
      <c r="K150" s="357">
        <f>#N/A</f>
        <v>0.13799844236760125</v>
      </c>
      <c r="L150" s="323">
        <f>#N/A</f>
        <v>0</v>
      </c>
      <c r="M150" s="323">
        <f>#N/A</f>
        <v>0</v>
      </c>
      <c r="N150" s="323">
        <f>#N/A</f>
        <v>0</v>
      </c>
      <c r="O150" s="323">
        <f>#N/A</f>
        <v>1205.14</v>
      </c>
      <c r="P150" s="323">
        <f>#N/A</f>
        <v>78.8599999999999</v>
      </c>
      <c r="Q150" s="357">
        <f>#N/A</f>
        <v>1.0654363808354215</v>
      </c>
      <c r="R150" s="323">
        <f>#N/A</f>
        <v>192.39</v>
      </c>
      <c r="S150" s="323">
        <f>#N/A</f>
        <v>-15.199999999999989</v>
      </c>
      <c r="T150" s="357">
        <f>#N/A</f>
        <v>0.920993814647331</v>
      </c>
      <c r="U150" s="323">
        <f>#N/A</f>
        <v>94.81</v>
      </c>
      <c r="V150" s="323">
        <f>#N/A</f>
        <v>88</v>
      </c>
      <c r="W150" s="323">
        <f>#N/A</f>
        <v>-6.810000000000002</v>
      </c>
      <c r="X150" s="357">
        <f>#N/A</f>
        <v>0.9281721337411665</v>
      </c>
      <c r="Y150" s="446">
        <f>#N/A</f>
        <v>-0.14444256618809048</v>
      </c>
    </row>
    <row r="151" spans="2:25" ht="15" hidden="1">
      <c r="B151" s="355" t="s">
        <v>106</v>
      </c>
      <c r="C151" s="356">
        <v>22010200</v>
      </c>
      <c r="D151" s="323">
        <f>D61</f>
        <v>0</v>
      </c>
      <c r="E151" s="323">
        <f>#N/A</f>
        <v>0</v>
      </c>
      <c r="F151" s="323">
        <f>#N/A</f>
        <v>0</v>
      </c>
      <c r="G151" s="323">
        <f>#N/A</f>
        <v>0</v>
      </c>
      <c r="H151" s="323">
        <f>#N/A</f>
        <v>0</v>
      </c>
      <c r="I151" s="357" t="e">
        <f>#N/A</f>
        <v>#DIV/0!</v>
      </c>
      <c r="J151" s="323">
        <f>#N/A</f>
        <v>0</v>
      </c>
      <c r="K151" s="357" t="e">
        <f>#N/A</f>
        <v>#DIV/0!</v>
      </c>
      <c r="L151" s="323">
        <f>#N/A</f>
        <v>0</v>
      </c>
      <c r="M151" s="323">
        <f>#N/A</f>
        <v>0</v>
      </c>
      <c r="N151" s="323">
        <f>#N/A</f>
        <v>0</v>
      </c>
      <c r="O151" s="323">
        <f>#N/A</f>
        <v>23.38</v>
      </c>
      <c r="P151" s="323">
        <f>#N/A</f>
        <v>-23.38</v>
      </c>
      <c r="Q151" s="357">
        <f>#N/A</f>
        <v>0</v>
      </c>
      <c r="R151" s="323">
        <f>#N/A</f>
        <v>0</v>
      </c>
      <c r="S151" s="323">
        <f>#N/A</f>
        <v>0</v>
      </c>
      <c r="T151" s="357">
        <f>#N/A</f>
        <v>0</v>
      </c>
      <c r="U151" s="323">
        <f>#N/A</f>
        <v>0</v>
      </c>
      <c r="V151" s="323">
        <f>#N/A</f>
        <v>0</v>
      </c>
      <c r="W151" s="323">
        <f>#N/A</f>
        <v>0</v>
      </c>
      <c r="X151" s="357" t="e">
        <f>#N/A</f>
        <v>#DIV/0!</v>
      </c>
      <c r="Y151" s="446">
        <f>#N/A</f>
        <v>0</v>
      </c>
    </row>
    <row r="152" spans="2:25" ht="15" hidden="1">
      <c r="B152" s="358" t="s">
        <v>65</v>
      </c>
      <c r="C152" s="359">
        <v>22012500</v>
      </c>
      <c r="D152" s="360">
        <f>D62</f>
        <v>21260</v>
      </c>
      <c r="E152" s="360">
        <f>#N/A</f>
        <v>21260</v>
      </c>
      <c r="F152" s="360">
        <f>#N/A</f>
        <v>3890</v>
      </c>
      <c r="G152" s="360">
        <f>#N/A</f>
        <v>3955.42</v>
      </c>
      <c r="H152" s="360">
        <f>#N/A</f>
        <v>65.42000000000007</v>
      </c>
      <c r="I152" s="362">
        <f>#N/A</f>
        <v>1.0168174807197943</v>
      </c>
      <c r="J152" s="360">
        <f>#N/A</f>
        <v>-17304.58</v>
      </c>
      <c r="K152" s="362">
        <f>#N/A</f>
        <v>0.18604985888993414</v>
      </c>
      <c r="L152" s="360">
        <f>#N/A</f>
        <v>0</v>
      </c>
      <c r="M152" s="360">
        <f>#N/A</f>
        <v>0</v>
      </c>
      <c r="N152" s="360">
        <f>#N/A</f>
        <v>0</v>
      </c>
      <c r="O152" s="360">
        <f>#N/A</f>
        <v>20110.14</v>
      </c>
      <c r="P152" s="360">
        <f>#N/A</f>
        <v>1149.8600000000006</v>
      </c>
      <c r="Q152" s="362">
        <f>#N/A</f>
        <v>1.0571781200926498</v>
      </c>
      <c r="R152" s="360">
        <f>#N/A</f>
        <v>2143.72</v>
      </c>
      <c r="S152" s="360">
        <f>#N/A</f>
        <v>1811.7000000000003</v>
      </c>
      <c r="T152" s="362">
        <f>#N/A</f>
        <v>1.8451196984680838</v>
      </c>
      <c r="U152" s="360">
        <f>#N/A</f>
        <v>2000</v>
      </c>
      <c r="V152" s="360">
        <f>#N/A</f>
        <v>2061.32</v>
      </c>
      <c r="W152" s="360">
        <f>#N/A</f>
        <v>61.320000000000164</v>
      </c>
      <c r="X152" s="362">
        <f>#N/A</f>
        <v>1.0306600000000001</v>
      </c>
      <c r="Y152" s="446">
        <f>#N/A</f>
        <v>0.787941578375434</v>
      </c>
    </row>
    <row r="153" spans="2:25" ht="30.75" hidden="1">
      <c r="B153" s="358" t="s">
        <v>86</v>
      </c>
      <c r="C153" s="359">
        <v>22012600</v>
      </c>
      <c r="D153" s="360">
        <f>D63</f>
        <v>767</v>
      </c>
      <c r="E153" s="360">
        <f>#N/A</f>
        <v>767</v>
      </c>
      <c r="F153" s="360">
        <f>#N/A</f>
        <v>121</v>
      </c>
      <c r="G153" s="360">
        <f>#N/A</f>
        <v>121.69</v>
      </c>
      <c r="H153" s="360">
        <f>#N/A</f>
        <v>0.6899999999999977</v>
      </c>
      <c r="I153" s="362">
        <f>#N/A</f>
        <v>1.005702479338843</v>
      </c>
      <c r="J153" s="360">
        <f>#N/A</f>
        <v>-645.31</v>
      </c>
      <c r="K153" s="362">
        <f>#N/A</f>
        <v>0.15865710560625815</v>
      </c>
      <c r="L153" s="360">
        <f>#N/A</f>
        <v>0</v>
      </c>
      <c r="M153" s="360">
        <f>#N/A</f>
        <v>0</v>
      </c>
      <c r="N153" s="360">
        <f>#N/A</f>
        <v>0</v>
      </c>
      <c r="O153" s="360">
        <f>#N/A</f>
        <v>710.04</v>
      </c>
      <c r="P153" s="360">
        <f>#N/A</f>
        <v>56.960000000000036</v>
      </c>
      <c r="Q153" s="362">
        <f>#N/A</f>
        <v>1.0802208326291478</v>
      </c>
      <c r="R153" s="360">
        <f>#N/A</f>
        <v>90.44</v>
      </c>
      <c r="S153" s="360">
        <f>#N/A</f>
        <v>31.25</v>
      </c>
      <c r="T153" s="362">
        <f>#N/A</f>
        <v>1.345532950022114</v>
      </c>
      <c r="U153" s="360">
        <f>#N/A</f>
        <v>64</v>
      </c>
      <c r="V153" s="360">
        <f>#N/A</f>
        <v>62.32</v>
      </c>
      <c r="W153" s="360">
        <f>#N/A</f>
        <v>-1.6799999999999997</v>
      </c>
      <c r="X153" s="362">
        <f>#N/A</f>
        <v>0.97375</v>
      </c>
      <c r="Y153" s="446">
        <f>#N/A</f>
        <v>0.26531211739296623</v>
      </c>
    </row>
    <row r="154" spans="2:25" ht="30.75" hidden="1">
      <c r="B154" s="358" t="s">
        <v>90</v>
      </c>
      <c r="C154" s="359">
        <v>22012900</v>
      </c>
      <c r="D154" s="360">
        <f>D64</f>
        <v>44</v>
      </c>
      <c r="E154" s="360">
        <f>#N/A</f>
        <v>44</v>
      </c>
      <c r="F154" s="360">
        <f>#N/A</f>
        <v>4</v>
      </c>
      <c r="G154" s="360">
        <f>#N/A</f>
        <v>6.7</v>
      </c>
      <c r="H154" s="360">
        <f>#N/A</f>
        <v>2.7</v>
      </c>
      <c r="I154" s="362">
        <f>#N/A</f>
        <v>1.675</v>
      </c>
      <c r="J154" s="360">
        <f>#N/A</f>
        <v>-37.3</v>
      </c>
      <c r="K154" s="362">
        <f>#N/A</f>
        <v>0.15227272727272728</v>
      </c>
      <c r="L154" s="360">
        <f>#N/A</f>
        <v>0</v>
      </c>
      <c r="M154" s="360">
        <f>#N/A</f>
        <v>0</v>
      </c>
      <c r="N154" s="360">
        <f>#N/A</f>
        <v>0</v>
      </c>
      <c r="O154" s="360">
        <f>#N/A</f>
        <v>41.44</v>
      </c>
      <c r="P154" s="360">
        <f>#N/A</f>
        <v>2.5600000000000023</v>
      </c>
      <c r="Q154" s="362">
        <f>#N/A</f>
        <v>1.0617760617760619</v>
      </c>
      <c r="R154" s="360">
        <f>#N/A</f>
        <v>0</v>
      </c>
      <c r="S154" s="360">
        <f>#N/A</f>
        <v>6.7</v>
      </c>
      <c r="T154" s="362" t="e">
        <f>#N/A</f>
        <v>#DIV/0!</v>
      </c>
      <c r="U154" s="360">
        <f>#N/A</f>
        <v>3</v>
      </c>
      <c r="V154" s="360">
        <f>#N/A</f>
        <v>5.640000000000001</v>
      </c>
      <c r="W154" s="360">
        <f>#N/A</f>
        <v>2.6400000000000006</v>
      </c>
      <c r="X154" s="362">
        <f>#N/A</f>
        <v>1.8800000000000001</v>
      </c>
      <c r="Y154" s="446" t="e">
        <f>#N/A</f>
        <v>#DIV/0!</v>
      </c>
    </row>
    <row r="155" spans="2:25" ht="15" hidden="1">
      <c r="B155" s="354" t="s">
        <v>183</v>
      </c>
      <c r="C155" s="365">
        <v>22010000</v>
      </c>
      <c r="D155" s="351">
        <f>SUM(D150:D154)</f>
        <v>23355</v>
      </c>
      <c r="E155" s="351">
        <f>#N/A</f>
        <v>23355</v>
      </c>
      <c r="F155" s="351">
        <f>#N/A</f>
        <v>4199</v>
      </c>
      <c r="G155" s="351">
        <f>#N/A</f>
        <v>4260.999999999999</v>
      </c>
      <c r="H155" s="351">
        <f>#N/A</f>
        <v>62.00000000000007</v>
      </c>
      <c r="I155" s="189">
        <f>G155/F155</f>
        <v>1.0147654203381755</v>
      </c>
      <c r="J155" s="351">
        <f>#N/A</f>
        <v>-19094.000000000004</v>
      </c>
      <c r="K155" s="189">
        <f>G155/E155</f>
        <v>0.182444872618283</v>
      </c>
      <c r="L155" s="351">
        <f>#N/A</f>
        <v>0</v>
      </c>
      <c r="M155" s="351">
        <f>#N/A</f>
        <v>0</v>
      </c>
      <c r="N155" s="351">
        <f>#N/A</f>
        <v>0</v>
      </c>
      <c r="O155" s="351">
        <f>#N/A</f>
        <v>22090.14</v>
      </c>
      <c r="P155" s="351">
        <f>#N/A</f>
        <v>1264.8600000000006</v>
      </c>
      <c r="Q155" s="189">
        <f>E155/O155</f>
        <v>1.0572590304995804</v>
      </c>
      <c r="R155" s="351">
        <f>#N/A</f>
        <v>2426.5499999999997</v>
      </c>
      <c r="S155" s="351">
        <f>#N/A</f>
        <v>1834.4500000000003</v>
      </c>
      <c r="T155" s="189">
        <f>G155/R155</f>
        <v>1.7559910160515957</v>
      </c>
      <c r="U155" s="351">
        <f>#N/A</f>
        <v>2161.81</v>
      </c>
      <c r="V155" s="351">
        <f>#N/A</f>
        <v>2217.28</v>
      </c>
      <c r="W155" s="351">
        <f>#N/A</f>
        <v>55.47000000000016</v>
      </c>
      <c r="X155" s="189">
        <f>V155/U155</f>
        <v>1.025659054218456</v>
      </c>
      <c r="Y155" s="189">
        <f>#N/A</f>
        <v>0.6987319855520153</v>
      </c>
    </row>
    <row r="156" spans="4:25" ht="15" hidden="1">
      <c r="D156" s="4"/>
      <c r="F156" s="78"/>
      <c r="G156" s="4"/>
      <c r="Y156" s="189"/>
    </row>
    <row r="157" spans="4:25" ht="15" hidden="1">
      <c r="D157" s="4"/>
      <c r="F157" s="78"/>
      <c r="G157" s="4"/>
      <c r="Y157" s="189"/>
    </row>
    <row r="158" spans="2:25" ht="15" hidden="1">
      <c r="B158" s="354" t="s">
        <v>184</v>
      </c>
      <c r="D158" s="4"/>
      <c r="F158" s="78"/>
      <c r="G158" s="4"/>
      <c r="Y158" s="189"/>
    </row>
    <row r="159" spans="2:25" ht="15" hidden="1">
      <c r="B159" s="366" t="s">
        <v>13</v>
      </c>
      <c r="C159" s="322" t="s">
        <v>19</v>
      </c>
      <c r="D159" s="348">
        <f>D72</f>
        <v>8170</v>
      </c>
      <c r="E159" s="348">
        <f>#N/A</f>
        <v>8170</v>
      </c>
      <c r="F159" s="348">
        <f>#N/A</f>
        <v>1248.65</v>
      </c>
      <c r="G159" s="348">
        <f>#N/A</f>
        <v>1072.15</v>
      </c>
      <c r="H159" s="348">
        <f>#N/A</f>
        <v>-176.5</v>
      </c>
      <c r="I159" s="347">
        <f>#N/A</f>
        <v>0.8586473391262563</v>
      </c>
      <c r="J159" s="348">
        <f>#N/A</f>
        <v>-7097.85</v>
      </c>
      <c r="K159" s="347">
        <f>#N/A</f>
        <v>0.13123011015911873</v>
      </c>
      <c r="L159" s="348">
        <f>#N/A</f>
        <v>0</v>
      </c>
      <c r="M159" s="348">
        <f>#N/A</f>
        <v>0</v>
      </c>
      <c r="N159" s="348">
        <f>#N/A</f>
        <v>0</v>
      </c>
      <c r="O159" s="348">
        <f>#N/A</f>
        <v>8086.92</v>
      </c>
      <c r="P159" s="348">
        <f>#N/A</f>
        <v>83.07999999999993</v>
      </c>
      <c r="Q159" s="347">
        <f>#N/A</f>
        <v>1.0102733797292418</v>
      </c>
      <c r="R159" s="348">
        <f>#N/A</f>
        <v>2711.43</v>
      </c>
      <c r="S159" s="348">
        <f>#N/A</f>
        <v>-1639.2799999999997</v>
      </c>
      <c r="T159" s="347">
        <f>#N/A</f>
        <v>0.3954186536255777</v>
      </c>
      <c r="U159" s="348">
        <f>#N/A</f>
        <v>680.0000000000001</v>
      </c>
      <c r="V159" s="348">
        <f>#N/A</f>
        <v>503.5000000000001</v>
      </c>
      <c r="W159" s="348">
        <f>#N/A</f>
        <v>-176.5</v>
      </c>
      <c r="X159" s="347">
        <f>#N/A</f>
        <v>0.7404411764705883</v>
      </c>
      <c r="Y159" s="189">
        <f>#N/A</f>
        <v>-0.6148547261036641</v>
      </c>
    </row>
    <row r="160" spans="2:25" ht="46.5" hidden="1">
      <c r="B160" s="366" t="s">
        <v>38</v>
      </c>
      <c r="C160" s="322">
        <v>24061900</v>
      </c>
      <c r="D160" s="348">
        <f>D76</f>
        <v>174.4</v>
      </c>
      <c r="E160" s="348">
        <f>#N/A</f>
        <v>174.4</v>
      </c>
      <c r="F160" s="348">
        <f>#N/A</f>
        <v>0</v>
      </c>
      <c r="G160" s="348">
        <f>#N/A</f>
        <v>0</v>
      </c>
      <c r="H160" s="348">
        <f>#N/A</f>
        <v>0</v>
      </c>
      <c r="I160" s="347" t="e">
        <f>#N/A</f>
        <v>#DIV/0!</v>
      </c>
      <c r="J160" s="348">
        <f>#N/A</f>
        <v>-174.4</v>
      </c>
      <c r="K160" s="347">
        <f>#N/A</f>
        <v>0</v>
      </c>
      <c r="L160" s="348">
        <f>#N/A</f>
        <v>0</v>
      </c>
      <c r="M160" s="348">
        <f>#N/A</f>
        <v>0</v>
      </c>
      <c r="N160" s="348">
        <f>#N/A</f>
        <v>0</v>
      </c>
      <c r="O160" s="348">
        <f>#N/A</f>
        <v>142.18</v>
      </c>
      <c r="P160" s="348">
        <f>#N/A</f>
        <v>32.22</v>
      </c>
      <c r="Q160" s="347">
        <f>#N/A</f>
        <v>1.2266141510761006</v>
      </c>
      <c r="R160" s="348">
        <f>#N/A</f>
        <v>32.89</v>
      </c>
      <c r="S160" s="348">
        <f>#N/A</f>
        <v>-32.89</v>
      </c>
      <c r="T160" s="347">
        <f>#N/A</f>
        <v>0</v>
      </c>
      <c r="U160" s="348">
        <f>#N/A</f>
        <v>0</v>
      </c>
      <c r="V160" s="348">
        <f>#N/A</f>
        <v>0</v>
      </c>
      <c r="W160" s="348">
        <f>#N/A</f>
        <v>0</v>
      </c>
      <c r="X160" s="347" t="e">
        <f>#N/A</f>
        <v>#DIV/0!</v>
      </c>
      <c r="Y160" s="189">
        <f>#N/A</f>
        <v>-1.2266141510761006</v>
      </c>
    </row>
    <row r="161" spans="2:25" ht="15" hidden="1">
      <c r="B161" s="354" t="s">
        <v>184</v>
      </c>
      <c r="C161" s="370">
        <v>24060000</v>
      </c>
      <c r="D161" s="351">
        <f>SUM(D159:D160)</f>
        <v>8344.4</v>
      </c>
      <c r="E161" s="351">
        <f>#N/A</f>
        <v>8344.4</v>
      </c>
      <c r="F161" s="351">
        <f>#N/A</f>
        <v>1248.65</v>
      </c>
      <c r="G161" s="351">
        <f>#N/A</f>
        <v>1072.15</v>
      </c>
      <c r="H161" s="351">
        <f>#N/A</f>
        <v>-176.5</v>
      </c>
      <c r="I161" s="189">
        <f>G161/F161</f>
        <v>0.8586473391262563</v>
      </c>
      <c r="J161" s="351">
        <f>#N/A</f>
        <v>-7272.25</v>
      </c>
      <c r="K161" s="189">
        <f>G161/E161</f>
        <v>0.12848736877426778</v>
      </c>
      <c r="L161" s="351">
        <f>#N/A</f>
        <v>0</v>
      </c>
      <c r="M161" s="351">
        <f>#N/A</f>
        <v>0</v>
      </c>
      <c r="N161" s="351">
        <f>#N/A</f>
        <v>0</v>
      </c>
      <c r="O161" s="351">
        <f>#N/A</f>
        <v>8229.1</v>
      </c>
      <c r="P161" s="351">
        <f>#N/A</f>
        <v>115.29999999999993</v>
      </c>
      <c r="Q161" s="189">
        <f>E161/O161</f>
        <v>1.0140112527493892</v>
      </c>
      <c r="R161" s="351">
        <f>#N/A</f>
        <v>2744.3199999999997</v>
      </c>
      <c r="S161" s="351">
        <f>#N/A</f>
        <v>-1672.1699999999998</v>
      </c>
      <c r="T161" s="189">
        <f>G161/R161</f>
        <v>0.3906796583488807</v>
      </c>
      <c r="U161" s="351">
        <f>#N/A</f>
        <v>680.0000000000001</v>
      </c>
      <c r="V161" s="351">
        <f>#N/A</f>
        <v>503.5000000000001</v>
      </c>
      <c r="W161" s="351">
        <f>#N/A</f>
        <v>-176.5</v>
      </c>
      <c r="X161" s="189">
        <f>V161/U161</f>
        <v>0.7404411764705883</v>
      </c>
      <c r="Y161" s="189">
        <f>#N/A</f>
        <v>-0.6233315944005084</v>
      </c>
    </row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</sheetData>
  <sheetProtection/>
  <mergeCells count="30">
    <mergeCell ref="E3:E5"/>
    <mergeCell ref="G3:K3"/>
    <mergeCell ref="U3:U5"/>
    <mergeCell ref="B109:C109"/>
    <mergeCell ref="G109:H109"/>
    <mergeCell ref="V3:X3"/>
    <mergeCell ref="F4:F5"/>
    <mergeCell ref="G106:H106"/>
    <mergeCell ref="G107:H107"/>
    <mergeCell ref="G108:H108"/>
    <mergeCell ref="H4:H5"/>
    <mergeCell ref="I4:I5"/>
    <mergeCell ref="J4:J5"/>
    <mergeCell ref="K4:K5"/>
    <mergeCell ref="V4:V5"/>
    <mergeCell ref="A1:X1"/>
    <mergeCell ref="B2:E2"/>
    <mergeCell ref="A3:A5"/>
    <mergeCell ref="B3:B5"/>
    <mergeCell ref="C3:C5"/>
    <mergeCell ref="G111:H111"/>
    <mergeCell ref="B111:C111"/>
    <mergeCell ref="G110:H110"/>
    <mergeCell ref="D3:D5"/>
    <mergeCell ref="W4:W5"/>
    <mergeCell ref="X4:X5"/>
    <mergeCell ref="L5:N5"/>
    <mergeCell ref="O5:Q5"/>
    <mergeCell ref="R5:T5"/>
    <mergeCell ref="G4:G5"/>
  </mergeCells>
  <printOptions/>
  <pageMargins left="0.31496062992125984" right="0" top="0" bottom="0" header="0" footer="0"/>
  <pageSetup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59"/>
  <sheetViews>
    <sheetView zoomScale="69" zoomScaleNormal="69" zoomScalePageLayoutView="0" workbookViewId="0" topLeftCell="B1">
      <pane xSplit="2" ySplit="8" topLeftCell="D2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C23" sqref="C2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4.5039062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1.5039062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4.753906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hidden="1" customWidth="1"/>
    <col min="22" max="22" width="12.25390625" style="4" hidden="1" customWidth="1"/>
    <col min="23" max="23" width="12.625" style="4" hidden="1" customWidth="1"/>
    <col min="24" max="24" width="13.125" style="4" hidden="1" customWidth="1"/>
    <col min="25" max="25" width="13.50390625" style="186" hidden="1" customWidth="1"/>
    <col min="26" max="16384" width="9.125" style="4" customWidth="1"/>
  </cols>
  <sheetData>
    <row r="1" spans="1:25" s="1" customFormat="1" ht="26.25" customHeight="1">
      <c r="A1" s="504" t="s">
        <v>128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186"/>
    </row>
    <row r="2" spans="2:25" s="1" customFormat="1" ht="15.75" customHeight="1">
      <c r="B2" s="470"/>
      <c r="C2" s="470"/>
      <c r="D2" s="470"/>
      <c r="E2" s="470"/>
      <c r="F2" s="2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71"/>
      <c r="B3" s="473"/>
      <c r="C3" s="474" t="s">
        <v>0</v>
      </c>
      <c r="D3" s="508" t="s">
        <v>131</v>
      </c>
      <c r="E3" s="475" t="s">
        <v>131</v>
      </c>
      <c r="F3" s="25"/>
      <c r="G3" s="476" t="s">
        <v>26</v>
      </c>
      <c r="H3" s="477"/>
      <c r="I3" s="477"/>
      <c r="J3" s="477"/>
      <c r="K3" s="478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479" t="s">
        <v>140</v>
      </c>
      <c r="V3" s="482" t="s">
        <v>124</v>
      </c>
      <c r="W3" s="482"/>
      <c r="X3" s="482"/>
      <c r="Y3" s="194"/>
    </row>
    <row r="4" spans="1:24" ht="22.5" customHeight="1">
      <c r="A4" s="471"/>
      <c r="B4" s="473"/>
      <c r="C4" s="474"/>
      <c r="D4" s="509"/>
      <c r="E4" s="475"/>
      <c r="F4" s="483" t="s">
        <v>138</v>
      </c>
      <c r="G4" s="485" t="s">
        <v>31</v>
      </c>
      <c r="H4" s="487" t="s">
        <v>122</v>
      </c>
      <c r="I4" s="480" t="s">
        <v>123</v>
      </c>
      <c r="J4" s="487" t="s">
        <v>132</v>
      </c>
      <c r="K4" s="480" t="s">
        <v>133</v>
      </c>
      <c r="L4" s="65" t="s">
        <v>108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0"/>
      <c r="V4" s="489" t="s">
        <v>137</v>
      </c>
      <c r="W4" s="487" t="s">
        <v>44</v>
      </c>
      <c r="X4" s="491" t="s">
        <v>43</v>
      </c>
    </row>
    <row r="5" spans="1:24" ht="67.5" customHeight="1">
      <c r="A5" s="472"/>
      <c r="B5" s="473"/>
      <c r="C5" s="474"/>
      <c r="D5" s="510"/>
      <c r="E5" s="475"/>
      <c r="F5" s="484"/>
      <c r="G5" s="486"/>
      <c r="H5" s="488"/>
      <c r="I5" s="481"/>
      <c r="J5" s="488"/>
      <c r="K5" s="481"/>
      <c r="L5" s="492" t="s">
        <v>109</v>
      </c>
      <c r="M5" s="493"/>
      <c r="N5" s="494"/>
      <c r="O5" s="505" t="s">
        <v>125</v>
      </c>
      <c r="P5" s="506"/>
      <c r="Q5" s="507"/>
      <c r="R5" s="498" t="s">
        <v>127</v>
      </c>
      <c r="S5" s="498"/>
      <c r="T5" s="498"/>
      <c r="U5" s="481"/>
      <c r="V5" s="490"/>
      <c r="W5" s="488"/>
      <c r="X5" s="491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03">
        <f>D9+D15+D18+D19+D23+D17</f>
        <v>1580633.8</v>
      </c>
      <c r="E8" s="103">
        <f>E9+E15+E18+E19+E23+E17</f>
        <v>1580633.8</v>
      </c>
      <c r="F8" s="103">
        <f>F9+F15+F18+F19+F23+F17</f>
        <v>112027.019</v>
      </c>
      <c r="G8" s="103">
        <f>G9+G15+G18+G19+G23+G17</f>
        <v>112027.01</v>
      </c>
      <c r="H8" s="103">
        <f>G8-F8</f>
        <v>-0.00900000000547152</v>
      </c>
      <c r="I8" s="210">
        <f>#N/A</f>
        <v>0.9999999196622379</v>
      </c>
      <c r="J8" s="104">
        <f>#N/A</f>
        <v>-1468606.79</v>
      </c>
      <c r="K8" s="156">
        <f>#N/A</f>
        <v>0.07087474024660234</v>
      </c>
      <c r="L8" s="104"/>
      <c r="M8" s="104"/>
      <c r="N8" s="104"/>
      <c r="O8" s="104">
        <v>1329586.12</v>
      </c>
      <c r="P8" s="104">
        <f>#N/A</f>
        <v>251047.67999999993</v>
      </c>
      <c r="Q8" s="156">
        <f>#N/A</f>
        <v>1.188816411531131</v>
      </c>
      <c r="R8" s="103">
        <v>93856.96</v>
      </c>
      <c r="S8" s="103">
        <f>#N/A</f>
        <v>18170.04999999999</v>
      </c>
      <c r="T8" s="143">
        <f>#N/A</f>
        <v>1.1935929951279052</v>
      </c>
      <c r="U8" s="103">
        <f>U9+U15+U18+U19+U23+U17</f>
        <v>112027.019</v>
      </c>
      <c r="V8" s="103">
        <f>V9+V15+V18+V19+V23+V17</f>
        <v>112027.01</v>
      </c>
      <c r="W8" s="103">
        <f>V8-U8</f>
        <v>-0.00900000000547152</v>
      </c>
      <c r="X8" s="143">
        <f>#N/A</f>
        <v>0.9999999196622379</v>
      </c>
      <c r="Y8" s="199">
        <f>#N/A</f>
        <v>0.004776583596774131</v>
      </c>
    </row>
    <row r="9" spans="1:25" s="6" customFormat="1" ht="18">
      <c r="A9" s="8"/>
      <c r="B9" s="88" t="s">
        <v>66</v>
      </c>
      <c r="C9" s="34">
        <v>11010000</v>
      </c>
      <c r="D9" s="229">
        <v>956203</v>
      </c>
      <c r="E9" s="102">
        <v>956203</v>
      </c>
      <c r="F9" s="102">
        <v>63829.339</v>
      </c>
      <c r="G9" s="106">
        <v>63829.29</v>
      </c>
      <c r="H9" s="102">
        <f>G9-F9</f>
        <v>-0.04899999999906868</v>
      </c>
      <c r="I9" s="208">
        <f>#N/A</f>
        <v>0.9999992323279425</v>
      </c>
      <c r="J9" s="108">
        <f>#N/A</f>
        <v>-892373.71</v>
      </c>
      <c r="K9" s="148">
        <f>#N/A</f>
        <v>0.06675286523886664</v>
      </c>
      <c r="L9" s="108"/>
      <c r="M9" s="108"/>
      <c r="N9" s="108"/>
      <c r="O9" s="108">
        <v>775821.8</v>
      </c>
      <c r="P9" s="108">
        <f>#N/A</f>
        <v>180381.19999999995</v>
      </c>
      <c r="Q9" s="148">
        <f>#N/A</f>
        <v>1.2325033918871575</v>
      </c>
      <c r="R9" s="161">
        <v>46924.93</v>
      </c>
      <c r="S9" s="109">
        <f>#N/A</f>
        <v>16904.36</v>
      </c>
      <c r="T9" s="144">
        <f>#N/A</f>
        <v>1.3602426258281046</v>
      </c>
      <c r="U9" s="107">
        <f>F9-0</f>
        <v>63829.339</v>
      </c>
      <c r="V9" s="110">
        <f>G9-0</f>
        <v>63829.29</v>
      </c>
      <c r="W9" s="111">
        <f>V9-U9</f>
        <v>-0.04899999999906868</v>
      </c>
      <c r="X9" s="148">
        <f>#N/A</f>
        <v>0.9999992323279425</v>
      </c>
      <c r="Y9" s="199">
        <f>#N/A</f>
        <v>0.1277392339409471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v>881803</v>
      </c>
      <c r="F10" s="71">
        <v>58978.7</v>
      </c>
      <c r="G10" s="94">
        <v>58978.69</v>
      </c>
      <c r="H10" s="71">
        <f>#N/A</f>
        <v>-0.00999999999476131</v>
      </c>
      <c r="I10" s="209">
        <f>#N/A</f>
        <v>0.9999998304472633</v>
      </c>
      <c r="J10" s="72">
        <f>#N/A</f>
        <v>-822824.31</v>
      </c>
      <c r="K10" s="75">
        <f>#N/A</f>
        <v>0.06688420202698335</v>
      </c>
      <c r="L10" s="72"/>
      <c r="M10" s="72"/>
      <c r="N10" s="72"/>
      <c r="O10" s="72">
        <v>709899.75</v>
      </c>
      <c r="P10" s="72">
        <f>#N/A</f>
        <v>171903.25</v>
      </c>
      <c r="Q10" s="75">
        <f>#N/A</f>
        <v>1.2421514446229909</v>
      </c>
      <c r="R10" s="74">
        <v>43142.93</v>
      </c>
      <c r="S10" s="74">
        <f>#N/A</f>
        <v>15835.760000000002</v>
      </c>
      <c r="T10" s="145">
        <f>#N/A</f>
        <v>1.367053419876675</v>
      </c>
      <c r="U10" s="73">
        <f>#N/A</f>
        <v>58978.7</v>
      </c>
      <c r="V10" s="98">
        <f>#N/A</f>
        <v>58978.69</v>
      </c>
      <c r="W10" s="74">
        <f>#N/A</f>
        <v>-0.00999999999476131</v>
      </c>
      <c r="X10" s="75">
        <f>#N/A</f>
        <v>0.9999998304472633</v>
      </c>
      <c r="Y10" s="199">
        <f>#N/A</f>
        <v>0.12490197525368418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3484.7</v>
      </c>
      <c r="G11" s="94">
        <v>3484.7</v>
      </c>
      <c r="H11" s="71">
        <f>#N/A</f>
        <v>0</v>
      </c>
      <c r="I11" s="209">
        <f>#N/A</f>
        <v>1</v>
      </c>
      <c r="J11" s="72">
        <f>#N/A</f>
        <v>-46415.3</v>
      </c>
      <c r="K11" s="75">
        <f>#N/A</f>
        <v>0.06983366733466934</v>
      </c>
      <c r="L11" s="72"/>
      <c r="M11" s="72"/>
      <c r="N11" s="72"/>
      <c r="O11" s="72">
        <v>42516.41</v>
      </c>
      <c r="P11" s="72">
        <f>#N/A</f>
        <v>7383.5899999999965</v>
      </c>
      <c r="Q11" s="75">
        <f>#N/A</f>
        <v>1.1736644744934954</v>
      </c>
      <c r="R11" s="74">
        <v>2681.7</v>
      </c>
      <c r="S11" s="74">
        <f>#N/A</f>
        <v>803</v>
      </c>
      <c r="T11" s="145">
        <f>#N/A</f>
        <v>1.2994369243390387</v>
      </c>
      <c r="U11" s="73">
        <f>#N/A</f>
        <v>3484.7</v>
      </c>
      <c r="V11" s="98">
        <f>#N/A</f>
        <v>3484.7</v>
      </c>
      <c r="W11" s="74">
        <f>#N/A</f>
        <v>0</v>
      </c>
      <c r="X11" s="75">
        <f>#N/A</f>
        <v>1</v>
      </c>
      <c r="Y11" s="199">
        <f>#N/A</f>
        <v>0.12577244984554325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744.409</v>
      </c>
      <c r="G12" s="94">
        <v>744.39</v>
      </c>
      <c r="H12" s="71">
        <f>#N/A</f>
        <v>-0.019000000000005457</v>
      </c>
      <c r="I12" s="209">
        <f>#N/A</f>
        <v>0.999974476396712</v>
      </c>
      <c r="J12" s="72">
        <f>#N/A</f>
        <v>-11255.61</v>
      </c>
      <c r="K12" s="75">
        <f>#N/A</f>
        <v>0.0620325</v>
      </c>
      <c r="L12" s="72"/>
      <c r="M12" s="72"/>
      <c r="N12" s="72"/>
      <c r="O12" s="72">
        <v>11992.15</v>
      </c>
      <c r="P12" s="72">
        <f>#N/A</f>
        <v>7.850000000000364</v>
      </c>
      <c r="Q12" s="75">
        <f>#N/A</f>
        <v>1.0006545948808179</v>
      </c>
      <c r="R12" s="74">
        <v>500.43</v>
      </c>
      <c r="S12" s="74">
        <f>#N/A</f>
        <v>243.95999999999998</v>
      </c>
      <c r="T12" s="145">
        <f>#N/A</f>
        <v>1.487500749355554</v>
      </c>
      <c r="U12" s="73">
        <f>#N/A</f>
        <v>744.409</v>
      </c>
      <c r="V12" s="98">
        <f>#N/A</f>
        <v>744.39</v>
      </c>
      <c r="W12" s="74">
        <f>#N/A</f>
        <v>-0.019000000000005457</v>
      </c>
      <c r="X12" s="75">
        <f>#N/A</f>
        <v>0.999974476396712</v>
      </c>
      <c r="Y12" s="199">
        <f>#N/A</f>
        <v>0.4868461544747362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475.9</v>
      </c>
      <c r="G13" s="94">
        <v>475.87</v>
      </c>
      <c r="H13" s="71">
        <f>#N/A</f>
        <v>-0.029999999999972715</v>
      </c>
      <c r="I13" s="209">
        <f>#N/A</f>
        <v>0.9999369615465434</v>
      </c>
      <c r="J13" s="72">
        <f>#N/A</f>
        <v>-11524.13</v>
      </c>
      <c r="K13" s="75">
        <f>#N/A</f>
        <v>0.039655833333333335</v>
      </c>
      <c r="L13" s="72"/>
      <c r="M13" s="72"/>
      <c r="N13" s="72"/>
      <c r="O13" s="72">
        <v>10036.81</v>
      </c>
      <c r="P13" s="72">
        <f>#N/A</f>
        <v>1963.1900000000005</v>
      </c>
      <c r="Q13" s="75">
        <f>#N/A</f>
        <v>1.195599000080703</v>
      </c>
      <c r="R13" s="74">
        <v>499.36</v>
      </c>
      <c r="S13" s="74">
        <f>#N/A</f>
        <v>-23.49000000000001</v>
      </c>
      <c r="T13" s="145">
        <f>#N/A</f>
        <v>0.9529597885293175</v>
      </c>
      <c r="U13" s="73">
        <f>#N/A</f>
        <v>475.9</v>
      </c>
      <c r="V13" s="98">
        <f>#N/A</f>
        <v>475.87</v>
      </c>
      <c r="W13" s="74">
        <f>#N/A</f>
        <v>-0.029999999999972715</v>
      </c>
      <c r="X13" s="75">
        <f>#N/A</f>
        <v>0.9999369615465434</v>
      </c>
      <c r="Y13" s="199">
        <f>#N/A</f>
        <v>-0.24263921155138557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145.63</v>
      </c>
      <c r="G14" s="94">
        <v>145.63</v>
      </c>
      <c r="H14" s="71">
        <f>#N/A</f>
        <v>0</v>
      </c>
      <c r="I14" s="209">
        <f>#N/A</f>
        <v>1</v>
      </c>
      <c r="J14" s="72">
        <f>#N/A</f>
        <v>-354.37</v>
      </c>
      <c r="K14" s="75">
        <f>#N/A</f>
        <v>0.29125999999999996</v>
      </c>
      <c r="L14" s="72"/>
      <c r="M14" s="72"/>
      <c r="N14" s="72"/>
      <c r="O14" s="72">
        <v>1376.68</v>
      </c>
      <c r="P14" s="72">
        <f>#N/A</f>
        <v>-876.6800000000001</v>
      </c>
      <c r="Q14" s="75">
        <f>#N/A</f>
        <v>0.36319260830403577</v>
      </c>
      <c r="R14" s="74">
        <v>100.5</v>
      </c>
      <c r="S14" s="74">
        <f>#N/A</f>
        <v>45.129999999999995</v>
      </c>
      <c r="T14" s="145">
        <f>#N/A</f>
        <v>1.4490547263681592</v>
      </c>
      <c r="U14" s="73">
        <f>#N/A</f>
        <v>145.63</v>
      </c>
      <c r="V14" s="98">
        <f>#N/A</f>
        <v>145.63</v>
      </c>
      <c r="W14" s="74">
        <f>#N/A</f>
        <v>0</v>
      </c>
      <c r="X14" s="75">
        <f>#N/A</f>
        <v>1</v>
      </c>
      <c r="Y14" s="199">
        <f>#N/A</f>
        <v>1.0858621180641235</v>
      </c>
    </row>
    <row r="15" spans="1:25" s="6" customFormat="1" ht="30.75">
      <c r="A15" s="8"/>
      <c r="B15" s="89" t="s">
        <v>11</v>
      </c>
      <c r="C15" s="34">
        <v>11020200</v>
      </c>
      <c r="D15" s="229">
        <v>900</v>
      </c>
      <c r="E15" s="102">
        <v>900</v>
      </c>
      <c r="F15" s="102">
        <v>0</v>
      </c>
      <c r="G15" s="106">
        <v>0</v>
      </c>
      <c r="H15" s="102">
        <f>#N/A</f>
        <v>0</v>
      </c>
      <c r="I15" s="208" t="e">
        <f>#N/A</f>
        <v>#DIV/0!</v>
      </c>
      <c r="J15" s="108">
        <f>#N/A</f>
        <v>-900</v>
      </c>
      <c r="K15" s="108">
        <f>#N/A</f>
        <v>0</v>
      </c>
      <c r="L15" s="108"/>
      <c r="M15" s="108"/>
      <c r="N15" s="108"/>
      <c r="O15" s="108">
        <v>887.61</v>
      </c>
      <c r="P15" s="108">
        <f>#N/A</f>
        <v>12.389999999999986</v>
      </c>
      <c r="Q15" s="148">
        <f>#N/A</f>
        <v>1.0139588332713692</v>
      </c>
      <c r="R15" s="111">
        <v>0</v>
      </c>
      <c r="S15" s="111">
        <f>#N/A</f>
        <v>0</v>
      </c>
      <c r="T15" s="146" t="e">
        <f>#N/A</f>
        <v>#DIV/0!</v>
      </c>
      <c r="U15" s="107">
        <f>#N/A</f>
        <v>0</v>
      </c>
      <c r="V15" s="110">
        <f>#N/A</f>
        <v>0</v>
      </c>
      <c r="W15" s="111">
        <f>#N/A</f>
        <v>0</v>
      </c>
      <c r="X15" s="148" t="e">
        <f>#N/A</f>
        <v>#DIV/0!</v>
      </c>
      <c r="Y15" s="199" t="e">
        <f>#N/A</f>
        <v>#DIV/0!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70"/>
      <c r="E16" s="71"/>
      <c r="F16" s="102">
        <f>E16</f>
        <v>0</v>
      </c>
      <c r="G16" s="94">
        <v>0</v>
      </c>
      <c r="H16" s="102">
        <f>#N/A</f>
        <v>0</v>
      </c>
      <c r="I16" s="208" t="e">
        <f>G16/F16/100</f>
        <v>#DIV/0!</v>
      </c>
      <c r="J16" s="108">
        <f>#N/A</f>
        <v>0</v>
      </c>
      <c r="K16" s="108" t="e">
        <f>#N/A</f>
        <v>#DIV/0!</v>
      </c>
      <c r="L16" s="108"/>
      <c r="M16" s="108"/>
      <c r="N16" s="108"/>
      <c r="O16" s="108"/>
      <c r="P16" s="108">
        <f>#N/A</f>
        <v>0</v>
      </c>
      <c r="Q16" s="148" t="e">
        <f>#N/A</f>
        <v>#DIV/0!</v>
      </c>
      <c r="R16" s="111">
        <f>O16</f>
        <v>0</v>
      </c>
      <c r="S16" s="111">
        <f>#N/A</f>
        <v>0</v>
      </c>
      <c r="T16" s="146" t="e">
        <f>#N/A</f>
        <v>#DIV/0!</v>
      </c>
      <c r="U16" s="107">
        <f>#N/A</f>
        <v>0</v>
      </c>
      <c r="V16" s="110">
        <f>#N/A</f>
        <v>0</v>
      </c>
      <c r="W16" s="111">
        <f>#N/A</f>
        <v>0</v>
      </c>
      <c r="X16" s="148" t="e">
        <f>V16/U16*100</f>
        <v>#DIV/0!</v>
      </c>
      <c r="Y16" s="199" t="e">
        <f>#N/A</f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81"/>
      <c r="E17" s="112"/>
      <c r="F17" s="102">
        <f>E17</f>
        <v>0</v>
      </c>
      <c r="G17" s="113">
        <v>0</v>
      </c>
      <c r="H17" s="102">
        <f>#N/A</f>
        <v>0</v>
      </c>
      <c r="I17" s="208"/>
      <c r="J17" s="108">
        <f>#N/A</f>
        <v>0</v>
      </c>
      <c r="K17" s="108"/>
      <c r="L17" s="108"/>
      <c r="M17" s="108"/>
      <c r="N17" s="108"/>
      <c r="O17" s="108">
        <v>0.49</v>
      </c>
      <c r="P17" s="108">
        <f>#N/A</f>
        <v>-0.49</v>
      </c>
      <c r="Q17" s="148">
        <f>#N/A</f>
        <v>0</v>
      </c>
      <c r="R17" s="111">
        <v>0</v>
      </c>
      <c r="S17" s="111">
        <f>#N/A</f>
        <v>0</v>
      </c>
      <c r="T17" s="146" t="e">
        <f>#N/A</f>
        <v>#DIV/0!</v>
      </c>
      <c r="U17" s="107">
        <f>#N/A</f>
        <v>0</v>
      </c>
      <c r="V17" s="110">
        <f>#N/A</f>
        <v>0</v>
      </c>
      <c r="W17" s="111">
        <f>#N/A</f>
        <v>0</v>
      </c>
      <c r="X17" s="148"/>
      <c r="Y17" s="199" t="e">
        <f>#N/A</f>
        <v>#DIV/0!</v>
      </c>
    </row>
    <row r="18" spans="1:25" s="6" customFormat="1" ht="30.75">
      <c r="A18" s="8"/>
      <c r="B18" s="88" t="s">
        <v>99</v>
      </c>
      <c r="C18" s="81">
        <v>13030200</v>
      </c>
      <c r="D18" s="231">
        <v>235.6</v>
      </c>
      <c r="E18" s="102">
        <v>235.6</v>
      </c>
      <c r="F18" s="102">
        <v>0</v>
      </c>
      <c r="G18" s="106">
        <v>0</v>
      </c>
      <c r="H18" s="102">
        <f>#N/A</f>
        <v>0</v>
      </c>
      <c r="I18" s="208" t="e">
        <f>#N/A</f>
        <v>#DIV/0!</v>
      </c>
      <c r="J18" s="108">
        <f>#N/A</f>
        <v>-235.6</v>
      </c>
      <c r="K18" s="108">
        <f>#N/A</f>
        <v>0</v>
      </c>
      <c r="L18" s="108"/>
      <c r="M18" s="108"/>
      <c r="N18" s="108"/>
      <c r="O18" s="108">
        <v>220.59</v>
      </c>
      <c r="P18" s="108">
        <f>#N/A</f>
        <v>15.009999999999991</v>
      </c>
      <c r="Q18" s="148">
        <f>#N/A</f>
        <v>1.0680447889750215</v>
      </c>
      <c r="R18" s="111">
        <v>0</v>
      </c>
      <c r="S18" s="111">
        <f>#N/A</f>
        <v>0</v>
      </c>
      <c r="T18" s="146" t="e">
        <f>#N/A</f>
        <v>#DIV/0!</v>
      </c>
      <c r="U18" s="107">
        <f>#N/A</f>
        <v>0</v>
      </c>
      <c r="V18" s="110">
        <f>#N/A</f>
        <v>0</v>
      </c>
      <c r="W18" s="111">
        <f>#N/A</f>
        <v>0</v>
      </c>
      <c r="X18" s="148" t="e">
        <f>#N/A</f>
        <v>#DIV/0!</v>
      </c>
      <c r="Y18" s="199" t="e">
        <f>#N/A</f>
        <v>#DIV/0!</v>
      </c>
    </row>
    <row r="19" spans="1:25" s="6" customFormat="1" ht="18">
      <c r="A19" s="8"/>
      <c r="B19" s="88" t="s">
        <v>102</v>
      </c>
      <c r="C19" s="34"/>
      <c r="D19" s="129">
        <f>D20+D21+D22</f>
        <v>151728</v>
      </c>
      <c r="E19" s="102">
        <v>151728</v>
      </c>
      <c r="F19" s="102">
        <f>F20+F21+F22</f>
        <v>4989.58</v>
      </c>
      <c r="G19" s="158">
        <v>4989.58</v>
      </c>
      <c r="H19" s="102">
        <f>#N/A</f>
        <v>0</v>
      </c>
      <c r="I19" s="208">
        <f>#N/A</f>
        <v>1</v>
      </c>
      <c r="J19" s="108">
        <f>#N/A</f>
        <v>-146738.42</v>
      </c>
      <c r="K19" s="108">
        <f>#N/A</f>
        <v>3.288503110829906</v>
      </c>
      <c r="L19" s="108"/>
      <c r="M19" s="108"/>
      <c r="N19" s="108"/>
      <c r="O19" s="108">
        <v>121950.14</v>
      </c>
      <c r="P19" s="108">
        <f>#N/A</f>
        <v>29777.86</v>
      </c>
      <c r="Q19" s="148">
        <f>#N/A</f>
        <v>1.2441806134867905</v>
      </c>
      <c r="R19" s="111">
        <v>9751.75</v>
      </c>
      <c r="S19" s="111">
        <f>#N/A</f>
        <v>-4762.17</v>
      </c>
      <c r="T19" s="146">
        <f>#N/A</f>
        <v>0.5116599584689927</v>
      </c>
      <c r="U19" s="107">
        <f>#N/A</f>
        <v>4989.58</v>
      </c>
      <c r="V19" s="110">
        <f>#N/A</f>
        <v>4989.58</v>
      </c>
      <c r="W19" s="111">
        <f>#N/A</f>
        <v>0</v>
      </c>
      <c r="X19" s="148">
        <f>#N/A</f>
        <v>1</v>
      </c>
      <c r="Y19" s="199">
        <f>#N/A</f>
        <v>-0.7325206550177978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4989.58</v>
      </c>
      <c r="G20" s="141">
        <v>4989.58</v>
      </c>
      <c r="H20" s="170">
        <f>#N/A</f>
        <v>0</v>
      </c>
      <c r="I20" s="211">
        <f>#N/A</f>
        <v>1</v>
      </c>
      <c r="J20" s="171">
        <f>#N/A</f>
        <v>-61718.42</v>
      </c>
      <c r="K20" s="171">
        <f>#N/A</f>
        <v>7.479732565809198</v>
      </c>
      <c r="L20" s="171"/>
      <c r="M20" s="171"/>
      <c r="N20" s="171"/>
      <c r="O20" s="171">
        <v>60736.45</v>
      </c>
      <c r="P20" s="171">
        <f>#N/A</f>
        <v>5971.550000000003</v>
      </c>
      <c r="Q20" s="180">
        <f>#N/A</f>
        <v>1.098319048940134</v>
      </c>
      <c r="R20" s="116">
        <v>9751.75</v>
      </c>
      <c r="S20" s="116">
        <f>#N/A</f>
        <v>-4762.17</v>
      </c>
      <c r="T20" s="172">
        <f>#N/A</f>
        <v>0.5116599584689927</v>
      </c>
      <c r="U20" s="136">
        <f>#N/A</f>
        <v>4989.58</v>
      </c>
      <c r="V20" s="124">
        <f>#N/A</f>
        <v>4989.58</v>
      </c>
      <c r="W20" s="116">
        <f>#N/A</f>
        <v>0</v>
      </c>
      <c r="X20" s="180">
        <f>#N/A</f>
        <v>1</v>
      </c>
      <c r="Y20" s="199">
        <f>#N/A</f>
        <v>-0.5866590904711413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0</v>
      </c>
      <c r="G21" s="141">
        <v>0</v>
      </c>
      <c r="H21" s="170">
        <f>#N/A</f>
        <v>0</v>
      </c>
      <c r="I21" s="211" t="e">
        <f>#N/A</f>
        <v>#DIV/0!</v>
      </c>
      <c r="J21" s="171">
        <f>#N/A</f>
        <v>-15696</v>
      </c>
      <c r="K21" s="171">
        <f>#N/A</f>
        <v>0</v>
      </c>
      <c r="L21" s="171"/>
      <c r="M21" s="171"/>
      <c r="N21" s="171"/>
      <c r="O21" s="171">
        <v>12528.71</v>
      </c>
      <c r="P21" s="171">
        <f>#N/A</f>
        <v>3167.290000000001</v>
      </c>
      <c r="Q21" s="180">
        <f>#N/A</f>
        <v>1.2528025630731336</v>
      </c>
      <c r="R21" s="116">
        <v>0</v>
      </c>
      <c r="S21" s="116">
        <f>#N/A</f>
        <v>0</v>
      </c>
      <c r="T21" s="172" t="e">
        <f>#N/A</f>
        <v>#DIV/0!</v>
      </c>
      <c r="U21" s="136">
        <f>#N/A</f>
        <v>0</v>
      </c>
      <c r="V21" s="124">
        <f>#N/A</f>
        <v>0</v>
      </c>
      <c r="W21" s="116">
        <f>#N/A</f>
        <v>0</v>
      </c>
      <c r="X21" s="180" t="e">
        <f>#N/A</f>
        <v>#DIV/0!</v>
      </c>
      <c r="Y21" s="199" t="e">
        <f>#N/A</f>
        <v>#DIV/0!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0</v>
      </c>
      <c r="G22" s="141">
        <v>0</v>
      </c>
      <c r="H22" s="170">
        <f>#N/A</f>
        <v>0</v>
      </c>
      <c r="I22" s="211" t="e">
        <f>#N/A</f>
        <v>#DIV/0!</v>
      </c>
      <c r="J22" s="171">
        <f>#N/A</f>
        <v>-69324</v>
      </c>
      <c r="K22" s="171">
        <f>#N/A</f>
        <v>0</v>
      </c>
      <c r="L22" s="171"/>
      <c r="M22" s="171"/>
      <c r="N22" s="171"/>
      <c r="O22" s="171">
        <v>48684.98</v>
      </c>
      <c r="P22" s="171">
        <f>#N/A</f>
        <v>20639.019999999997</v>
      </c>
      <c r="Q22" s="180">
        <f>#N/A</f>
        <v>1.4239299266426728</v>
      </c>
      <c r="R22" s="116">
        <v>0</v>
      </c>
      <c r="S22" s="116">
        <f>#N/A</f>
        <v>0</v>
      </c>
      <c r="T22" s="172" t="e">
        <f>#N/A</f>
        <v>#DIV/0!</v>
      </c>
      <c r="U22" s="136">
        <f>#N/A</f>
        <v>0</v>
      </c>
      <c r="V22" s="124">
        <f>#N/A</f>
        <v>0</v>
      </c>
      <c r="W22" s="116">
        <f>#N/A</f>
        <v>0</v>
      </c>
      <c r="X22" s="180" t="e">
        <f>#N/A</f>
        <v>#DIV/0!</v>
      </c>
      <c r="Y22" s="199" t="e">
        <f>#N/A</f>
        <v>#DIV/0!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43208.1</v>
      </c>
      <c r="G23" s="158">
        <v>43208.14</v>
      </c>
      <c r="H23" s="102">
        <f>#N/A</f>
        <v>0.040000000000873115</v>
      </c>
      <c r="I23" s="208">
        <f>#N/A</f>
        <v>1.0000009257523474</v>
      </c>
      <c r="J23" s="108">
        <f>#N/A</f>
        <v>-428359.05999999994</v>
      </c>
      <c r="K23" s="108">
        <f>#N/A</f>
        <v>9.162668650406559</v>
      </c>
      <c r="L23" s="108"/>
      <c r="M23" s="108"/>
      <c r="N23" s="108"/>
      <c r="O23" s="108">
        <v>430705.5</v>
      </c>
      <c r="P23" s="108">
        <f>#N/A</f>
        <v>40861.69999999995</v>
      </c>
      <c r="Q23" s="148">
        <f>#N/A</f>
        <v>1.0948715537646954</v>
      </c>
      <c r="R23" s="108">
        <v>37180.29</v>
      </c>
      <c r="S23" s="111">
        <f>#N/A</f>
        <v>6027.8499999999985</v>
      </c>
      <c r="T23" s="147">
        <f>#N/A</f>
        <v>1.1621248785310712</v>
      </c>
      <c r="U23" s="107">
        <f>#N/A</f>
        <v>43208.1</v>
      </c>
      <c r="V23" s="110">
        <f>#N/A</f>
        <v>43208.14</v>
      </c>
      <c r="W23" s="111">
        <f>#N/A</f>
        <v>0.040000000000873115</v>
      </c>
      <c r="X23" s="148">
        <f>#N/A</f>
        <v>1.0000009257523474</v>
      </c>
      <c r="Y23" s="199">
        <f>#N/A</f>
        <v>0.0672533247663758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18151.51</v>
      </c>
      <c r="G24" s="158">
        <f>G25+G32+G35</f>
        <v>18152.42</v>
      </c>
      <c r="H24" s="102">
        <f>#N/A</f>
        <v>0.9099999999998545</v>
      </c>
      <c r="I24" s="208">
        <f>#N/A</f>
        <v>1.0000501335701548</v>
      </c>
      <c r="J24" s="108">
        <f>#N/A</f>
        <v>-198689.58000000002</v>
      </c>
      <c r="K24" s="148">
        <f>#N/A</f>
        <v>0.08371265714206656</v>
      </c>
      <c r="L24" s="108"/>
      <c r="M24" s="108"/>
      <c r="N24" s="108"/>
      <c r="O24" s="108">
        <v>207231.03</v>
      </c>
      <c r="P24" s="108">
        <f>#N/A</f>
        <v>9610.970000000001</v>
      </c>
      <c r="Q24" s="148">
        <f>#N/A</f>
        <v>1.0463780448323787</v>
      </c>
      <c r="R24" s="108">
        <v>16520.28</v>
      </c>
      <c r="S24" s="111">
        <f>#N/A</f>
        <v>1632.1399999999994</v>
      </c>
      <c r="T24" s="147">
        <f>#N/A</f>
        <v>1.0987961463122902</v>
      </c>
      <c r="U24" s="107">
        <f>#N/A</f>
        <v>18151.51</v>
      </c>
      <c r="V24" s="110">
        <f>#N/A</f>
        <v>18152.42</v>
      </c>
      <c r="W24" s="111">
        <f>#N/A</f>
        <v>0.9099999999998545</v>
      </c>
      <c r="X24" s="148">
        <f>#N/A</f>
        <v>1.0000501335701548</v>
      </c>
      <c r="Y24" s="199">
        <f>#N/A</f>
        <v>0.05241810147991144</v>
      </c>
      <c r="AB24" s="228"/>
    </row>
    <row r="25" spans="1:26" s="6" customFormat="1" ht="18">
      <c r="A25" s="8"/>
      <c r="B25" s="41" t="s">
        <v>61</v>
      </c>
      <c r="C25" s="84"/>
      <c r="D25" s="252">
        <f>D26+D27</f>
        <v>28784</v>
      </c>
      <c r="E25" s="170">
        <f>E26+E27</f>
        <v>28784</v>
      </c>
      <c r="F25" s="170">
        <f>F26+F27</f>
        <v>4641</v>
      </c>
      <c r="G25" s="141">
        <v>4641.89</v>
      </c>
      <c r="H25" s="170">
        <f>#N/A</f>
        <v>0.8900000000003274</v>
      </c>
      <c r="I25" s="211">
        <f>#N/A</f>
        <v>1.0001917690152986</v>
      </c>
      <c r="J25" s="171">
        <f>#N/A</f>
        <v>-24142.11</v>
      </c>
      <c r="K25" s="180">
        <f>#N/A</f>
        <v>0.16126632851584213</v>
      </c>
      <c r="L25" s="171"/>
      <c r="M25" s="171"/>
      <c r="N25" s="171"/>
      <c r="O25" s="171">
        <v>25414.16</v>
      </c>
      <c r="P25" s="171">
        <f>#N/A</f>
        <v>3369.84</v>
      </c>
      <c r="Q25" s="180">
        <f>#N/A</f>
        <v>1.1325969459545386</v>
      </c>
      <c r="R25" s="179">
        <v>3819.61</v>
      </c>
      <c r="S25" s="116">
        <f>#N/A</f>
        <v>822.2800000000002</v>
      </c>
      <c r="T25" s="152">
        <f>#N/A</f>
        <v>1.2152785232000125</v>
      </c>
      <c r="U25" s="107">
        <f>#N/A</f>
        <v>4641</v>
      </c>
      <c r="V25" s="110">
        <f>#N/A</f>
        <v>4641.89</v>
      </c>
      <c r="W25" s="116">
        <f>#N/A</f>
        <v>0.8900000000003274</v>
      </c>
      <c r="X25" s="180">
        <f>#N/A</f>
        <v>1.0001917690152986</v>
      </c>
      <c r="Y25" s="199">
        <f>#N/A</f>
        <v>0.08268157724547387</v>
      </c>
      <c r="Z25" s="101"/>
    </row>
    <row r="26" spans="1:26" s="6" customFormat="1" ht="18" customHeight="1" hidden="1">
      <c r="A26" s="8"/>
      <c r="B26" s="137" t="s">
        <v>92</v>
      </c>
      <c r="C26" s="138"/>
      <c r="D26" s="139">
        <f>D28+D29</f>
        <v>1522</v>
      </c>
      <c r="E26" s="139">
        <f>E28+E29</f>
        <v>1522</v>
      </c>
      <c r="F26" s="139">
        <f>F28+F29</f>
        <v>155.11</v>
      </c>
      <c r="G26" s="139">
        <f>G28+G29</f>
        <v>155.11</v>
      </c>
      <c r="H26" s="158">
        <f>#N/A</f>
        <v>0</v>
      </c>
      <c r="I26" s="212">
        <f>#N/A</f>
        <v>1</v>
      </c>
      <c r="J26" s="176">
        <f>#N/A</f>
        <v>-1366.8899999999999</v>
      </c>
      <c r="K26" s="191">
        <f>#N/A</f>
        <v>0.10191195795006572</v>
      </c>
      <c r="L26" s="176"/>
      <c r="M26" s="176"/>
      <c r="N26" s="176"/>
      <c r="O26" s="176">
        <f>O28+O29</f>
        <v>1512.89</v>
      </c>
      <c r="P26" s="176">
        <f>#N/A</f>
        <v>9.1099999999999</v>
      </c>
      <c r="Q26" s="191">
        <f>#N/A</f>
        <v>1.006021587821983</v>
      </c>
      <c r="R26" s="140">
        <f>R28+R29</f>
        <v>120.37</v>
      </c>
      <c r="S26" s="201">
        <f>#N/A</f>
        <v>34.74000000000001</v>
      </c>
      <c r="T26" s="162">
        <f>#N/A</f>
        <v>1.2886101188003656</v>
      </c>
      <c r="U26" s="167">
        <f>#N/A</f>
        <v>155.11</v>
      </c>
      <c r="V26" s="167">
        <f>#N/A</f>
        <v>155.11</v>
      </c>
      <c r="W26" s="176">
        <f>#N/A</f>
        <v>0</v>
      </c>
      <c r="X26" s="191">
        <f>#N/A</f>
        <v>1</v>
      </c>
      <c r="Y26" s="199">
        <f>#N/A</f>
        <v>0.28258853097838266</v>
      </c>
      <c r="Z26" s="101"/>
    </row>
    <row r="27" spans="1:26" s="6" customFormat="1" ht="18" customHeight="1" hidden="1">
      <c r="A27" s="8"/>
      <c r="B27" s="137" t="s">
        <v>93</v>
      </c>
      <c r="C27" s="138"/>
      <c r="D27" s="139">
        <f>D30+D31</f>
        <v>27262</v>
      </c>
      <c r="E27" s="139">
        <f>E30+E31</f>
        <v>27262</v>
      </c>
      <c r="F27" s="139">
        <f>F30+F31</f>
        <v>4485.89</v>
      </c>
      <c r="G27" s="139">
        <f>G30+G31</f>
        <v>4486.79</v>
      </c>
      <c r="H27" s="158">
        <f>#N/A</f>
        <v>0.8999999999996362</v>
      </c>
      <c r="I27" s="212">
        <f>#N/A</f>
        <v>1.0002006290836378</v>
      </c>
      <c r="J27" s="176">
        <f>#N/A</f>
        <v>-22775.21</v>
      </c>
      <c r="K27" s="191">
        <f>#N/A</f>
        <v>0.16458036827818942</v>
      </c>
      <c r="L27" s="176"/>
      <c r="M27" s="176"/>
      <c r="N27" s="176"/>
      <c r="O27" s="176">
        <f>O30+O31</f>
        <v>23901.28</v>
      </c>
      <c r="P27" s="176">
        <f>#N/A</f>
        <v>3360.720000000001</v>
      </c>
      <c r="Q27" s="191">
        <f>#N/A</f>
        <v>1.1406083690915299</v>
      </c>
      <c r="R27" s="140">
        <f>R30+R31</f>
        <v>3699.25</v>
      </c>
      <c r="S27" s="201">
        <f>#N/A</f>
        <v>787.54</v>
      </c>
      <c r="T27" s="162">
        <f>#N/A</f>
        <v>1.212891802392377</v>
      </c>
      <c r="U27" s="167">
        <f>#N/A</f>
        <v>4485.89</v>
      </c>
      <c r="V27" s="167">
        <f>#N/A</f>
        <v>4486.79</v>
      </c>
      <c r="W27" s="176">
        <f>#N/A</f>
        <v>0.8999999999996362</v>
      </c>
      <c r="X27" s="191">
        <f>#N/A</f>
        <v>1.0002006290836378</v>
      </c>
      <c r="Y27" s="199">
        <f>#N/A</f>
        <v>0.07228343330084708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43">
        <v>316</v>
      </c>
      <c r="F28" s="219">
        <v>29.3</v>
      </c>
      <c r="G28" s="206">
        <v>29.3</v>
      </c>
      <c r="H28" s="218">
        <f>#N/A</f>
        <v>0</v>
      </c>
      <c r="I28" s="220">
        <f>#N/A</f>
        <v>1</v>
      </c>
      <c r="J28" s="221">
        <f>#N/A</f>
        <v>-286.7</v>
      </c>
      <c r="K28" s="222">
        <f>#N/A</f>
        <v>0.09272151898734178</v>
      </c>
      <c r="L28" s="176"/>
      <c r="M28" s="176"/>
      <c r="N28" s="176"/>
      <c r="O28" s="221">
        <v>275.91</v>
      </c>
      <c r="P28" s="221">
        <f>#N/A</f>
        <v>40.089999999999975</v>
      </c>
      <c r="Q28" s="222">
        <f>#N/A</f>
        <v>1.1453010039505636</v>
      </c>
      <c r="R28" s="221">
        <v>108.25</v>
      </c>
      <c r="S28" s="221">
        <f>#N/A</f>
        <v>-78.95</v>
      </c>
      <c r="T28" s="222">
        <f>#N/A</f>
        <v>0.2706697459584296</v>
      </c>
      <c r="U28" s="206">
        <f>#N/A</f>
        <v>29.3</v>
      </c>
      <c r="V28" s="206">
        <f>#N/A</f>
        <v>29.3</v>
      </c>
      <c r="W28" s="221">
        <f>#N/A</f>
        <v>0</v>
      </c>
      <c r="X28" s="222">
        <f>#N/A</f>
        <v>1</v>
      </c>
      <c r="Y28" s="199">
        <f>#N/A</f>
        <v>-0.874631257992134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43">
        <v>1206</v>
      </c>
      <c r="F29" s="219">
        <v>125.81</v>
      </c>
      <c r="G29" s="206">
        <v>125.81</v>
      </c>
      <c r="H29" s="218">
        <f>#N/A</f>
        <v>0</v>
      </c>
      <c r="I29" s="220">
        <f>#N/A</f>
        <v>1</v>
      </c>
      <c r="J29" s="221">
        <f>#N/A</f>
        <v>-1080.19</v>
      </c>
      <c r="K29" s="222">
        <f>#N/A</f>
        <v>0.1043200663349917</v>
      </c>
      <c r="L29" s="176"/>
      <c r="M29" s="176"/>
      <c r="N29" s="176"/>
      <c r="O29" s="221">
        <v>1236.98</v>
      </c>
      <c r="P29" s="221">
        <f>#N/A</f>
        <v>-30.980000000000018</v>
      </c>
      <c r="Q29" s="222">
        <f>#N/A</f>
        <v>0.9749551326618053</v>
      </c>
      <c r="R29" s="221">
        <v>12.12</v>
      </c>
      <c r="S29" s="221">
        <f>#N/A</f>
        <v>113.69</v>
      </c>
      <c r="T29" s="222">
        <f>#N/A</f>
        <v>10.380363036303631</v>
      </c>
      <c r="U29" s="206">
        <f>#N/A</f>
        <v>125.81</v>
      </c>
      <c r="V29" s="206">
        <f>#N/A</f>
        <v>125.81</v>
      </c>
      <c r="W29" s="221">
        <f>#N/A</f>
        <v>0</v>
      </c>
      <c r="X29" s="222">
        <f>#N/A</f>
        <v>1</v>
      </c>
      <c r="Y29" s="199">
        <f>#N/A</f>
        <v>9.405407903641827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43">
        <v>2355</v>
      </c>
      <c r="F30" s="219">
        <f>280.99-0.9</f>
        <v>280.09000000000003</v>
      </c>
      <c r="G30" s="206">
        <v>280.99</v>
      </c>
      <c r="H30" s="218">
        <f>#N/A</f>
        <v>0.8999999999999773</v>
      </c>
      <c r="I30" s="220">
        <f>#N/A</f>
        <v>1.0032132528830018</v>
      </c>
      <c r="J30" s="221">
        <f>#N/A</f>
        <v>-2074.01</v>
      </c>
      <c r="K30" s="222">
        <f>#N/A</f>
        <v>0.11931634819532909</v>
      </c>
      <c r="L30" s="176"/>
      <c r="M30" s="176"/>
      <c r="N30" s="176"/>
      <c r="O30" s="221">
        <v>2220.25</v>
      </c>
      <c r="P30" s="221">
        <f>#N/A</f>
        <v>134.75</v>
      </c>
      <c r="Q30" s="222">
        <f>#N/A</f>
        <v>1.0606913635851818</v>
      </c>
      <c r="R30" s="221">
        <v>17.34</v>
      </c>
      <c r="S30" s="221">
        <f>#N/A</f>
        <v>263.65000000000003</v>
      </c>
      <c r="T30" s="222">
        <f>#N/A</f>
        <v>16.20472895040369</v>
      </c>
      <c r="U30" s="206">
        <f>#N/A</f>
        <v>280.09000000000003</v>
      </c>
      <c r="V30" s="206">
        <f>#N/A</f>
        <v>280.99</v>
      </c>
      <c r="W30" s="221">
        <f>#N/A</f>
        <v>0.8999999999999773</v>
      </c>
      <c r="X30" s="222">
        <f>#N/A</f>
        <v>1.0032132528830018</v>
      </c>
      <c r="Y30" s="199">
        <f>#N/A</f>
        <v>15.14403758681851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43">
        <v>24907</v>
      </c>
      <c r="F31" s="219">
        <v>4205.8</v>
      </c>
      <c r="G31" s="206">
        <v>4205.8</v>
      </c>
      <c r="H31" s="218">
        <f>#N/A</f>
        <v>0</v>
      </c>
      <c r="I31" s="220">
        <f>#N/A</f>
        <v>1</v>
      </c>
      <c r="J31" s="221">
        <f>#N/A</f>
        <v>-20701.2</v>
      </c>
      <c r="K31" s="222">
        <f>#N/A</f>
        <v>0.1688601597944353</v>
      </c>
      <c r="L31" s="176"/>
      <c r="M31" s="176"/>
      <c r="N31" s="176"/>
      <c r="O31" s="221">
        <v>21681.03</v>
      </c>
      <c r="P31" s="221">
        <f>#N/A</f>
        <v>3225.970000000001</v>
      </c>
      <c r="Q31" s="222">
        <f>#N/A</f>
        <v>1.148792285237371</v>
      </c>
      <c r="R31" s="221">
        <v>3681.91</v>
      </c>
      <c r="S31" s="221">
        <f>#N/A</f>
        <v>523.8900000000003</v>
      </c>
      <c r="T31" s="222">
        <f>#N/A</f>
        <v>1.1422875627052265</v>
      </c>
      <c r="U31" s="206">
        <f>#N/A</f>
        <v>4205.8</v>
      </c>
      <c r="V31" s="206">
        <f>#N/A</f>
        <v>4205.8</v>
      </c>
      <c r="W31" s="221"/>
      <c r="X31" s="222">
        <f>#N/A</f>
        <v>1</v>
      </c>
      <c r="Y31" s="199">
        <f>#N/A</f>
        <v>-0.0065047225321446245</v>
      </c>
    </row>
    <row r="32" spans="1:25" s="6" customFormat="1" ht="18">
      <c r="A32" s="8"/>
      <c r="B32" s="41" t="s">
        <v>62</v>
      </c>
      <c r="C32" s="84"/>
      <c r="D32" s="232">
        <f>D33+D34</f>
        <v>282</v>
      </c>
      <c r="E32" s="119">
        <f>E33+E34</f>
        <v>282</v>
      </c>
      <c r="F32" s="119">
        <f>F33+F34</f>
        <v>157.03</v>
      </c>
      <c r="G32" s="120">
        <v>157.03</v>
      </c>
      <c r="H32" s="170">
        <f>#N/A</f>
        <v>0</v>
      </c>
      <c r="I32" s="211">
        <f>#N/A</f>
        <v>1</v>
      </c>
      <c r="J32" s="171">
        <f>#N/A</f>
        <v>-124.97</v>
      </c>
      <c r="K32" s="180">
        <f>#N/A</f>
        <v>0.5568439716312057</v>
      </c>
      <c r="L32" s="171"/>
      <c r="M32" s="171"/>
      <c r="N32" s="171"/>
      <c r="O32" s="171">
        <v>645.26</v>
      </c>
      <c r="P32" s="171">
        <f>#N/A</f>
        <v>-363.26</v>
      </c>
      <c r="Q32" s="180">
        <f>#N/A</f>
        <v>0.43703313393050863</v>
      </c>
      <c r="R32" s="121">
        <v>52.08</v>
      </c>
      <c r="S32" s="121">
        <f>#N/A</f>
        <v>104.95</v>
      </c>
      <c r="T32" s="150">
        <f>#N/A</f>
        <v>3.0151689708141323</v>
      </c>
      <c r="U32" s="136">
        <f>#N/A</f>
        <v>157.03</v>
      </c>
      <c r="V32" s="124">
        <f>#N/A</f>
        <v>157.03</v>
      </c>
      <c r="W32" s="116">
        <f>#N/A</f>
        <v>0</v>
      </c>
      <c r="X32" s="180">
        <f>#N/A</f>
        <v>1</v>
      </c>
      <c r="Y32" s="199">
        <f>#N/A</f>
        <v>2.578135836883624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230">
        <v>100</v>
      </c>
      <c r="F33" s="223">
        <v>27.85</v>
      </c>
      <c r="G33" s="94">
        <v>27.85</v>
      </c>
      <c r="H33" s="71">
        <f>#N/A</f>
        <v>0</v>
      </c>
      <c r="I33" s="209">
        <f>#N/A</f>
        <v>1</v>
      </c>
      <c r="J33" s="72">
        <f>#N/A</f>
        <v>-72.15</v>
      </c>
      <c r="K33" s="75">
        <f>#N/A</f>
        <v>0.2785</v>
      </c>
      <c r="L33" s="72"/>
      <c r="M33" s="72"/>
      <c r="N33" s="72"/>
      <c r="O33" s="72">
        <v>241.36</v>
      </c>
      <c r="P33" s="72">
        <f>#N/A</f>
        <v>-141.36</v>
      </c>
      <c r="Q33" s="75">
        <f>#N/A</f>
        <v>0.41431885979449784</v>
      </c>
      <c r="R33" s="72">
        <v>0</v>
      </c>
      <c r="S33" s="72">
        <f>#N/A</f>
        <v>27.85</v>
      </c>
      <c r="T33" s="75" t="e">
        <f>#N/A</f>
        <v>#DIV/0!</v>
      </c>
      <c r="U33" s="73">
        <f>#N/A</f>
        <v>27.85</v>
      </c>
      <c r="V33" s="98">
        <f>#N/A</f>
        <v>27.85</v>
      </c>
      <c r="W33" s="74">
        <f>#N/A</f>
        <v>0</v>
      </c>
      <c r="X33" s="75">
        <f>#N/A</f>
        <v>1</v>
      </c>
      <c r="Y33" s="199" t="e">
        <f>#N/A</f>
        <v>#DIV/0!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230">
        <v>182</v>
      </c>
      <c r="F34" s="223">
        <v>129.18</v>
      </c>
      <c r="G34" s="94">
        <v>129.18</v>
      </c>
      <c r="H34" s="71">
        <f>#N/A</f>
        <v>0</v>
      </c>
      <c r="I34" s="209">
        <f>#N/A</f>
        <v>1</v>
      </c>
      <c r="J34" s="72">
        <f>#N/A</f>
        <v>-52.81999999999999</v>
      </c>
      <c r="K34" s="75">
        <f>#N/A</f>
        <v>0.7097802197802198</v>
      </c>
      <c r="L34" s="72"/>
      <c r="M34" s="72"/>
      <c r="N34" s="72"/>
      <c r="O34" s="72">
        <v>403.91</v>
      </c>
      <c r="P34" s="72">
        <f>#N/A</f>
        <v>-221.91000000000003</v>
      </c>
      <c r="Q34" s="75">
        <f>#N/A</f>
        <v>0.45059542967492755</v>
      </c>
      <c r="R34" s="72">
        <v>52.08</v>
      </c>
      <c r="S34" s="72">
        <f>#N/A</f>
        <v>77.10000000000001</v>
      </c>
      <c r="T34" s="75">
        <f>#N/A</f>
        <v>2.480414746543779</v>
      </c>
      <c r="U34" s="73">
        <f>#N/A</f>
        <v>129.18</v>
      </c>
      <c r="V34" s="98">
        <f>#N/A</f>
        <v>129.18</v>
      </c>
      <c r="W34" s="74"/>
      <c r="X34" s="75">
        <f>#N/A</f>
        <v>1</v>
      </c>
      <c r="Y34" s="199">
        <f>#N/A</f>
        <v>2.0298193168688514</v>
      </c>
    </row>
    <row r="35" spans="1:25" s="6" customFormat="1" ht="18">
      <c r="A35" s="8"/>
      <c r="B35" s="41" t="s">
        <v>63</v>
      </c>
      <c r="C35" s="84"/>
      <c r="D35" s="232">
        <f>D36+D37</f>
        <v>187776</v>
      </c>
      <c r="E35" s="258">
        <f>E36+E37</f>
        <v>187776</v>
      </c>
      <c r="F35" s="258">
        <f>F36+F37</f>
        <v>13353.48</v>
      </c>
      <c r="G35" s="120">
        <v>13353.5</v>
      </c>
      <c r="H35" s="102">
        <f>#N/A</f>
        <v>0.020000000000436557</v>
      </c>
      <c r="I35" s="211">
        <f>#N/A</f>
        <v>1.0000014977369196</v>
      </c>
      <c r="J35" s="171">
        <f>#N/A</f>
        <v>-174422.5</v>
      </c>
      <c r="K35" s="180">
        <f>#N/A</f>
        <v>0.07111398687798227</v>
      </c>
      <c r="L35" s="171"/>
      <c r="M35" s="171"/>
      <c r="N35" s="171"/>
      <c r="O35" s="171">
        <v>181171.61</v>
      </c>
      <c r="P35" s="171">
        <f>#N/A</f>
        <v>6604.390000000014</v>
      </c>
      <c r="Q35" s="180">
        <f>#N/A</f>
        <v>1.0364537799272193</v>
      </c>
      <c r="R35" s="122">
        <v>12648.59</v>
      </c>
      <c r="S35" s="122">
        <f>#N/A</f>
        <v>704.9099999999999</v>
      </c>
      <c r="T35" s="149">
        <f>#N/A</f>
        <v>1.0557303225102561</v>
      </c>
      <c r="U35" s="136">
        <f>#N/A</f>
        <v>13353.48</v>
      </c>
      <c r="V35" s="124">
        <f>#N/A</f>
        <v>13353.5</v>
      </c>
      <c r="W35" s="116">
        <f>#N/A</f>
        <v>0.020000000000436557</v>
      </c>
      <c r="X35" s="180">
        <f>#N/A</f>
        <v>1.0000014977369196</v>
      </c>
      <c r="Y35" s="199">
        <f>#N/A</f>
        <v>0.019276542583036793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>#N/A</f>
        <v>60690</v>
      </c>
      <c r="F36" s="139">
        <f>#N/A</f>
        <v>4067.23</v>
      </c>
      <c r="G36" s="139">
        <f>#N/A</f>
        <v>4067.24</v>
      </c>
      <c r="H36" s="158">
        <f>#N/A</f>
        <v>0.009999999999763531</v>
      </c>
      <c r="I36" s="212">
        <f>#N/A</f>
        <v>1.0000024586758063</v>
      </c>
      <c r="J36" s="176">
        <f>#N/A</f>
        <v>-56622.76</v>
      </c>
      <c r="K36" s="191">
        <f>#N/A</f>
        <v>0.067016641950898</v>
      </c>
      <c r="L36" s="176"/>
      <c r="M36" s="176"/>
      <c r="N36" s="176"/>
      <c r="O36" s="176">
        <f>O38+O40</f>
        <v>58608.68</v>
      </c>
      <c r="P36" s="176">
        <f>#N/A</f>
        <v>2081.3199999999997</v>
      </c>
      <c r="Q36" s="191">
        <f>#N/A</f>
        <v>1.0355121459824723</v>
      </c>
      <c r="R36" s="140">
        <f>R38+R40</f>
        <v>3799.8500000000004</v>
      </c>
      <c r="S36" s="140">
        <f>#N/A</f>
        <v>267.3899999999994</v>
      </c>
      <c r="T36" s="162">
        <f>#N/A</f>
        <v>1.0703685671802832</v>
      </c>
      <c r="U36" s="167">
        <f>#N/A</f>
        <v>4067.23</v>
      </c>
      <c r="V36" s="167">
        <f>#N/A</f>
        <v>4067.24</v>
      </c>
      <c r="W36" s="176">
        <f>#N/A</f>
        <v>0.009999999999763531</v>
      </c>
      <c r="X36" s="191">
        <f>#N/A</f>
        <v>1.0000024586758063</v>
      </c>
      <c r="Y36" s="199">
        <f>#N/A</f>
        <v>0.03485642119781085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>#N/A</f>
        <v>127086</v>
      </c>
      <c r="F37" s="139">
        <f>#N/A</f>
        <v>9286.25</v>
      </c>
      <c r="G37" s="139">
        <f>#N/A</f>
        <v>9286.26</v>
      </c>
      <c r="H37" s="158">
        <f>#N/A</f>
        <v>0.010000000000218279</v>
      </c>
      <c r="I37" s="212">
        <f>#N/A</f>
        <v>1.0000010768609504</v>
      </c>
      <c r="J37" s="176">
        <f>#N/A</f>
        <v>-117799.74</v>
      </c>
      <c r="K37" s="191">
        <f>#N/A</f>
        <v>0.07307067654973798</v>
      </c>
      <c r="L37" s="176"/>
      <c r="M37" s="176"/>
      <c r="N37" s="176"/>
      <c r="O37" s="176">
        <f>O39+O41</f>
        <v>122562.93000000001</v>
      </c>
      <c r="P37" s="176">
        <f>#N/A</f>
        <v>4523.069999999992</v>
      </c>
      <c r="Q37" s="191">
        <f>#N/A</f>
        <v>1.0369040622641772</v>
      </c>
      <c r="R37" s="140">
        <f>R39+R41</f>
        <v>8848.73</v>
      </c>
      <c r="S37" s="140">
        <f>#N/A</f>
        <v>437.53000000000065</v>
      </c>
      <c r="T37" s="162">
        <f>#N/A</f>
        <v>1.0494455136499814</v>
      </c>
      <c r="U37" s="167">
        <f>#N/A</f>
        <v>9286.25</v>
      </c>
      <c r="V37" s="167">
        <f>#N/A</f>
        <v>9286.26</v>
      </c>
      <c r="W37" s="176">
        <f>#N/A</f>
        <v>0.010000000000218279</v>
      </c>
      <c r="X37" s="191">
        <f>#N/A</f>
        <v>1.0000010768609504</v>
      </c>
      <c r="Y37" s="199">
        <f>#N/A</f>
        <v>0.012541451385804203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43">
        <v>57290</v>
      </c>
      <c r="F38" s="218">
        <v>3984.4</v>
      </c>
      <c r="G38" s="206">
        <v>3984.41</v>
      </c>
      <c r="H38" s="218">
        <f>#N/A</f>
        <v>0.009999999999763531</v>
      </c>
      <c r="I38" s="220">
        <f>#N/A</f>
        <v>1.0000025097881737</v>
      </c>
      <c r="J38" s="221">
        <f>#N/A</f>
        <v>-53305.59</v>
      </c>
      <c r="K38" s="222">
        <f>#N/A</f>
        <v>0.06954808867167045</v>
      </c>
      <c r="L38" s="176"/>
      <c r="M38" s="176"/>
      <c r="N38" s="176"/>
      <c r="O38" s="221">
        <v>55246.24</v>
      </c>
      <c r="P38" s="221">
        <f>#N/A</f>
        <v>2043.760000000002</v>
      </c>
      <c r="Q38" s="222">
        <f>#N/A</f>
        <v>1.0369936487985427</v>
      </c>
      <c r="R38" s="221">
        <v>3720.59</v>
      </c>
      <c r="S38" s="221">
        <f>#N/A</f>
        <v>263.8199999999997</v>
      </c>
      <c r="T38" s="222">
        <f>#N/A</f>
        <v>1.0709081086601855</v>
      </c>
      <c r="U38" s="206">
        <f>#N/A</f>
        <v>3984.4</v>
      </c>
      <c r="V38" s="206">
        <f>#N/A</f>
        <v>3984.41</v>
      </c>
      <c r="W38" s="221">
        <f>#N/A</f>
        <v>0.009999999999763531</v>
      </c>
      <c r="X38" s="222">
        <f>#N/A</f>
        <v>1.0000025097881737</v>
      </c>
      <c r="Y38" s="199">
        <f>#N/A</f>
        <v>0.033914459861642765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43">
        <v>105986</v>
      </c>
      <c r="F39" s="218">
        <v>7793.45</v>
      </c>
      <c r="G39" s="206">
        <v>7793.45</v>
      </c>
      <c r="H39" s="218">
        <f>#N/A</f>
        <v>0</v>
      </c>
      <c r="I39" s="220">
        <f>#N/A</f>
        <v>1</v>
      </c>
      <c r="J39" s="221">
        <f>#N/A</f>
        <v>-98192.55</v>
      </c>
      <c r="K39" s="222">
        <f>#N/A</f>
        <v>0.07353282509010624</v>
      </c>
      <c r="L39" s="176"/>
      <c r="M39" s="176"/>
      <c r="N39" s="176"/>
      <c r="O39" s="221">
        <v>102196.35</v>
      </c>
      <c r="P39" s="221">
        <f>#N/A</f>
        <v>3789.649999999994</v>
      </c>
      <c r="Q39" s="222">
        <f>#N/A</f>
        <v>1.0370820484293226</v>
      </c>
      <c r="R39" s="221">
        <v>7428.28</v>
      </c>
      <c r="S39" s="221">
        <f>#N/A</f>
        <v>365.1700000000001</v>
      </c>
      <c r="T39" s="222">
        <f>#N/A</f>
        <v>1.0491594285621975</v>
      </c>
      <c r="U39" s="206">
        <f>#N/A</f>
        <v>7793.45</v>
      </c>
      <c r="V39" s="206">
        <f>#N/A</f>
        <v>7793.45</v>
      </c>
      <c r="W39" s="221">
        <f>#N/A</f>
        <v>0</v>
      </c>
      <c r="X39" s="222">
        <f>#N/A</f>
        <v>1</v>
      </c>
      <c r="Y39" s="199">
        <f>#N/A</f>
        <v>0.012077380132874849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43">
        <v>3400</v>
      </c>
      <c r="F40" s="218">
        <v>82.83</v>
      </c>
      <c r="G40" s="206">
        <v>82.83</v>
      </c>
      <c r="H40" s="218">
        <f>#N/A</f>
        <v>0</v>
      </c>
      <c r="I40" s="220">
        <f>#N/A</f>
        <v>1</v>
      </c>
      <c r="J40" s="221">
        <f>#N/A</f>
        <v>-3317.17</v>
      </c>
      <c r="K40" s="222">
        <f>#N/A</f>
        <v>0.024361764705882354</v>
      </c>
      <c r="L40" s="176"/>
      <c r="M40" s="176"/>
      <c r="N40" s="176"/>
      <c r="O40" s="221">
        <v>3362.44</v>
      </c>
      <c r="P40" s="221">
        <f>#N/A</f>
        <v>37.559999999999945</v>
      </c>
      <c r="Q40" s="222">
        <f>#N/A</f>
        <v>1.0111704595472335</v>
      </c>
      <c r="R40" s="221">
        <v>79.26</v>
      </c>
      <c r="S40" s="221">
        <f>#N/A</f>
        <v>3.569999999999993</v>
      </c>
      <c r="T40" s="222">
        <f>#N/A</f>
        <v>1.0450416351249052</v>
      </c>
      <c r="U40" s="206">
        <f>#N/A</f>
        <v>82.83</v>
      </c>
      <c r="V40" s="206">
        <f>#N/A</f>
        <v>82.83</v>
      </c>
      <c r="W40" s="221">
        <f>#N/A</f>
        <v>0</v>
      </c>
      <c r="X40" s="222">
        <f>#N/A</f>
        <v>1</v>
      </c>
      <c r="Y40" s="199">
        <f>#N/A</f>
        <v>0.03387117557767172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43">
        <v>21100</v>
      </c>
      <c r="F41" s="218">
        <v>1492.8</v>
      </c>
      <c r="G41" s="206">
        <v>1492.81</v>
      </c>
      <c r="H41" s="218">
        <f>#N/A</f>
        <v>0.009999999999990905</v>
      </c>
      <c r="I41" s="220">
        <f>#N/A</f>
        <v>1.0000066988210075</v>
      </c>
      <c r="J41" s="221">
        <f>#N/A</f>
        <v>-19607.19</v>
      </c>
      <c r="K41" s="222">
        <f>#N/A</f>
        <v>0.07074928909952606</v>
      </c>
      <c r="L41" s="176"/>
      <c r="M41" s="176"/>
      <c r="N41" s="176"/>
      <c r="O41" s="221">
        <v>20366.58</v>
      </c>
      <c r="P41" s="221">
        <f>#N/A</f>
        <v>733.4199999999983</v>
      </c>
      <c r="Q41" s="222">
        <f>#N/A</f>
        <v>1.0360109552021006</v>
      </c>
      <c r="R41" s="221">
        <v>1420.45</v>
      </c>
      <c r="S41" s="221">
        <f>#N/A</f>
        <v>72.3599999999999</v>
      </c>
      <c r="T41" s="222">
        <f>#N/A</f>
        <v>1.0509416030131296</v>
      </c>
      <c r="U41" s="206">
        <f>#N/A</f>
        <v>1492.8</v>
      </c>
      <c r="V41" s="206">
        <f>#N/A</f>
        <v>1492.81</v>
      </c>
      <c r="W41" s="221">
        <f>#N/A</f>
        <v>0.009999999999990905</v>
      </c>
      <c r="X41" s="222">
        <f>#N/A</f>
        <v>1.0000066988210075</v>
      </c>
      <c r="Y41" s="199">
        <f>#N/A</f>
        <v>0.01493064781102893</v>
      </c>
    </row>
    <row r="42" spans="1:25" s="6" customFormat="1" ht="18">
      <c r="A42" s="8"/>
      <c r="B42" s="159" t="s">
        <v>97</v>
      </c>
      <c r="C42" s="157">
        <v>18020000</v>
      </c>
      <c r="D42" s="157"/>
      <c r="E42" s="112">
        <v>0</v>
      </c>
      <c r="F42" s="112">
        <f>E42</f>
        <v>0</v>
      </c>
      <c r="G42" s="139">
        <v>0</v>
      </c>
      <c r="H42" s="102">
        <f>#N/A</f>
        <v>0</v>
      </c>
      <c r="I42" s="208"/>
      <c r="J42" s="108">
        <f>#N/A</f>
        <v>0</v>
      </c>
      <c r="K42" s="108"/>
      <c r="L42" s="108"/>
      <c r="M42" s="108"/>
      <c r="N42" s="108"/>
      <c r="O42" s="108">
        <v>0.2</v>
      </c>
      <c r="P42" s="108">
        <f>#N/A</f>
        <v>-0.2</v>
      </c>
      <c r="Q42" s="148">
        <f>#N/A</f>
        <v>0</v>
      </c>
      <c r="R42" s="117">
        <v>0.2</v>
      </c>
      <c r="S42" s="108">
        <f>#N/A</f>
        <v>-0.2</v>
      </c>
      <c r="T42" s="148"/>
      <c r="U42" s="107">
        <f>#N/A</f>
        <v>0</v>
      </c>
      <c r="V42" s="110">
        <f>#N/A</f>
        <v>0</v>
      </c>
      <c r="W42" s="111">
        <f>#N/A</f>
        <v>0</v>
      </c>
      <c r="X42" s="148"/>
      <c r="Y42" s="199">
        <f>#N/A</f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10.43</v>
      </c>
      <c r="G43" s="106">
        <v>10.43</v>
      </c>
      <c r="H43" s="102">
        <f>#N/A</f>
        <v>0</v>
      </c>
      <c r="I43" s="208">
        <f>G43/F43</f>
        <v>1</v>
      </c>
      <c r="J43" s="108">
        <f>#N/A</f>
        <v>-163.97</v>
      </c>
      <c r="K43" s="148">
        <f>G43/E43</f>
        <v>0.05980504587155963</v>
      </c>
      <c r="L43" s="108"/>
      <c r="M43" s="108"/>
      <c r="N43" s="108"/>
      <c r="O43" s="108">
        <v>156.82</v>
      </c>
      <c r="P43" s="108">
        <f>#N/A</f>
        <v>17.580000000000013</v>
      </c>
      <c r="Q43" s="148">
        <f>#N/A</f>
        <v>1.112103048080602</v>
      </c>
      <c r="R43" s="117">
        <v>13.06</v>
      </c>
      <c r="S43" s="108">
        <f>#N/A</f>
        <v>-2.630000000000001</v>
      </c>
      <c r="T43" s="148">
        <f>#N/A</f>
        <v>0.7986217457886676</v>
      </c>
      <c r="U43" s="107">
        <f>#N/A</f>
        <v>10.43</v>
      </c>
      <c r="V43" s="110">
        <f>#N/A</f>
        <v>10.43</v>
      </c>
      <c r="W43" s="111">
        <f>#N/A</f>
        <v>0</v>
      </c>
      <c r="X43" s="148">
        <f>V43/U43</f>
        <v>1</v>
      </c>
      <c r="Y43" s="199">
        <f>#N/A</f>
        <v>-0.3134813022919344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9.9</v>
      </c>
      <c r="G44" s="94">
        <v>9.9</v>
      </c>
      <c r="H44" s="71">
        <f>#N/A</f>
        <v>0</v>
      </c>
      <c r="I44" s="209">
        <f>G44/F44</f>
        <v>1</v>
      </c>
      <c r="J44" s="72">
        <f>#N/A</f>
        <v>-91</v>
      </c>
      <c r="K44" s="75">
        <f>G44/E44</f>
        <v>0.0981169474727453</v>
      </c>
      <c r="L44" s="72"/>
      <c r="M44" s="72"/>
      <c r="N44" s="72"/>
      <c r="O44" s="72">
        <v>95.14</v>
      </c>
      <c r="P44" s="72">
        <f>#N/A</f>
        <v>5.760000000000005</v>
      </c>
      <c r="Q44" s="75">
        <f>#N/A</f>
        <v>1.0605423586293883</v>
      </c>
      <c r="R44" s="72">
        <v>5.51</v>
      </c>
      <c r="S44" s="72">
        <f>#N/A</f>
        <v>4.390000000000001</v>
      </c>
      <c r="T44" s="75">
        <f>#N/A</f>
        <v>1.7967332123411979</v>
      </c>
      <c r="U44" s="73">
        <f>#N/A</f>
        <v>9.9</v>
      </c>
      <c r="V44" s="98">
        <f>#N/A</f>
        <v>9.9</v>
      </c>
      <c r="W44" s="74">
        <f>#N/A</f>
        <v>0</v>
      </c>
      <c r="X44" s="75">
        <f>V44/U44</f>
        <v>1</v>
      </c>
      <c r="Y44" s="199">
        <f>#N/A</f>
        <v>0.7361908537118096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0.53</v>
      </c>
      <c r="G45" s="94">
        <v>0.53</v>
      </c>
      <c r="H45" s="71">
        <f>#N/A</f>
        <v>0</v>
      </c>
      <c r="I45" s="209">
        <f>G45/F45</f>
        <v>1</v>
      </c>
      <c r="J45" s="72">
        <f>#N/A</f>
        <v>-72.97</v>
      </c>
      <c r="K45" s="75">
        <f>G45/E45</f>
        <v>0.007210884353741497</v>
      </c>
      <c r="L45" s="72"/>
      <c r="M45" s="72"/>
      <c r="N45" s="72"/>
      <c r="O45" s="72">
        <v>61.68</v>
      </c>
      <c r="P45" s="72">
        <f>#N/A</f>
        <v>11.82</v>
      </c>
      <c r="Q45" s="75">
        <f>#N/A</f>
        <v>1.1916342412451362</v>
      </c>
      <c r="R45" s="72">
        <v>7.56</v>
      </c>
      <c r="S45" s="72">
        <f>#N/A</f>
        <v>-7.029999999999999</v>
      </c>
      <c r="T45" s="75">
        <f>#N/A</f>
        <v>0.07010582010582012</v>
      </c>
      <c r="U45" s="73">
        <f>#N/A</f>
        <v>0.53</v>
      </c>
      <c r="V45" s="98">
        <f>#N/A</f>
        <v>0.53</v>
      </c>
      <c r="W45" s="74">
        <f>#N/A</f>
        <v>0</v>
      </c>
      <c r="X45" s="75">
        <f>V45/U45</f>
        <v>1</v>
      </c>
      <c r="Y45" s="199">
        <f>#N/A</f>
        <v>-1.121528421139316</v>
      </c>
    </row>
    <row r="46" spans="1:25" s="6" customFormat="1" ht="30.75">
      <c r="A46" s="8"/>
      <c r="B46" s="159" t="s">
        <v>70</v>
      </c>
      <c r="C46" s="79">
        <v>18040000</v>
      </c>
      <c r="D46" s="79"/>
      <c r="E46" s="102"/>
      <c r="F46" s="102"/>
      <c r="G46" s="106">
        <v>-0.91</v>
      </c>
      <c r="H46" s="102">
        <f>#N/A</f>
        <v>-0.91</v>
      </c>
      <c r="I46" s="208"/>
      <c r="J46" s="108">
        <f>#N/A</f>
        <v>-0.91</v>
      </c>
      <c r="K46" s="148"/>
      <c r="L46" s="108"/>
      <c r="M46" s="108"/>
      <c r="N46" s="108"/>
      <c r="O46" s="108">
        <v>-50.78</v>
      </c>
      <c r="P46" s="108">
        <f>#N/A</f>
        <v>50.78</v>
      </c>
      <c r="Q46" s="148">
        <f>#N/A</f>
        <v>0</v>
      </c>
      <c r="R46" s="108">
        <v>-2.93</v>
      </c>
      <c r="S46" s="108">
        <f>#N/A</f>
        <v>2.02</v>
      </c>
      <c r="T46" s="148">
        <f>#N/A</f>
        <v>0.310580204778157</v>
      </c>
      <c r="U46" s="107">
        <f>#N/A</f>
        <v>0</v>
      </c>
      <c r="V46" s="110">
        <f>#N/A</f>
        <v>-0.91</v>
      </c>
      <c r="W46" s="111">
        <f>#N/A</f>
        <v>-0.91</v>
      </c>
      <c r="X46" s="148"/>
      <c r="Y46" s="199">
        <f>#N/A</f>
        <v>0.310580204778157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v>254550.8</v>
      </c>
      <c r="F47" s="112">
        <f>F48+F49+F50+F51</f>
        <v>25046.16</v>
      </c>
      <c r="G47" s="113">
        <v>25046.2</v>
      </c>
      <c r="H47" s="102">
        <f>#N/A</f>
        <v>0.040000000000873115</v>
      </c>
      <c r="I47" s="208">
        <f>G47/F47*100</f>
        <v>100.00015970512047</v>
      </c>
      <c r="J47" s="108">
        <f>#N/A</f>
        <v>-229504.59999999998</v>
      </c>
      <c r="K47" s="148">
        <f>G47/E47</f>
        <v>0.09839371944617735</v>
      </c>
      <c r="L47" s="108"/>
      <c r="M47" s="108"/>
      <c r="N47" s="108"/>
      <c r="O47" s="108">
        <v>223368.23</v>
      </c>
      <c r="P47" s="108">
        <f>#N/A</f>
        <v>31182.569999999978</v>
      </c>
      <c r="Q47" s="148">
        <f>#N/A</f>
        <v>1.139601634484904</v>
      </c>
      <c r="R47" s="123">
        <v>20649.68</v>
      </c>
      <c r="S47" s="123">
        <f>#N/A</f>
        <v>4396.52</v>
      </c>
      <c r="T47" s="160">
        <f>#N/A</f>
        <v>1.2129098368594573</v>
      </c>
      <c r="U47" s="107">
        <f>#N/A</f>
        <v>25046.16</v>
      </c>
      <c r="V47" s="110">
        <f>#N/A</f>
        <v>25046.2</v>
      </c>
      <c r="W47" s="111">
        <f>#N/A</f>
        <v>0.040000000000873115</v>
      </c>
      <c r="X47" s="148">
        <f>V47/U47</f>
        <v>1.0000015970512046</v>
      </c>
      <c r="Y47" s="199">
        <f>#N/A</f>
        <v>0.07330820237455327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30"/>
      <c r="E48" s="71"/>
      <c r="F48" s="71">
        <f>E48</f>
        <v>0</v>
      </c>
      <c r="G48" s="94">
        <v>0.01</v>
      </c>
      <c r="H48" s="71">
        <f>G48-F48</f>
        <v>0.01</v>
      </c>
      <c r="I48" s="209"/>
      <c r="J48" s="72">
        <f>#N/A</f>
        <v>0.01</v>
      </c>
      <c r="K48" s="75"/>
      <c r="L48" s="72"/>
      <c r="M48" s="72"/>
      <c r="N48" s="72"/>
      <c r="O48" s="72">
        <v>0.01</v>
      </c>
      <c r="P48" s="72">
        <f>#N/A</f>
        <v>-0.01</v>
      </c>
      <c r="Q48" s="75">
        <f>#N/A</f>
        <v>0</v>
      </c>
      <c r="R48" s="85">
        <f>O48</f>
        <v>0.01</v>
      </c>
      <c r="S48" s="85">
        <f>#N/A</f>
        <v>0</v>
      </c>
      <c r="T48" s="153">
        <f>#N/A</f>
        <v>1</v>
      </c>
      <c r="U48" s="73">
        <f>#N/A</f>
        <v>0</v>
      </c>
      <c r="V48" s="98">
        <f>#N/A</f>
        <v>0.01</v>
      </c>
      <c r="W48" s="74">
        <f>#N/A</f>
        <v>0.01</v>
      </c>
      <c r="X48" s="75"/>
      <c r="Y48" s="199">
        <f>#N/A</f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3883.87</v>
      </c>
      <c r="G49" s="94">
        <v>3883.87</v>
      </c>
      <c r="H49" s="71">
        <f>G49-F49</f>
        <v>0</v>
      </c>
      <c r="I49" s="209">
        <f>G49/F49</f>
        <v>1</v>
      </c>
      <c r="J49" s="72">
        <f>#N/A</f>
        <v>-51831.13</v>
      </c>
      <c r="K49" s="75">
        <f>G49/E49</f>
        <v>0.06970959346675043</v>
      </c>
      <c r="L49" s="72"/>
      <c r="M49" s="72"/>
      <c r="N49" s="72"/>
      <c r="O49" s="72">
        <v>45030.34</v>
      </c>
      <c r="P49" s="72">
        <f>#N/A</f>
        <v>10684.660000000003</v>
      </c>
      <c r="Q49" s="75">
        <f>#N/A</f>
        <v>1.2372769115223203</v>
      </c>
      <c r="R49" s="85">
        <v>3585.03</v>
      </c>
      <c r="S49" s="85">
        <f>#N/A</f>
        <v>298.8399999999997</v>
      </c>
      <c r="T49" s="153">
        <f>#N/A</f>
        <v>1.0833577403815309</v>
      </c>
      <c r="U49" s="73">
        <f>#N/A</f>
        <v>3883.87</v>
      </c>
      <c r="V49" s="98">
        <f>#N/A</f>
        <v>3883.87</v>
      </c>
      <c r="W49" s="74">
        <f>#N/A</f>
        <v>0</v>
      </c>
      <c r="X49" s="75">
        <f>V49/U49</f>
        <v>1</v>
      </c>
      <c r="Y49" s="199">
        <f>#N/A</f>
        <v>-0.15391917114078946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30">
        <v>198755</v>
      </c>
      <c r="E50" s="71">
        <v>198755</v>
      </c>
      <c r="F50" s="71">
        <v>21140.49</v>
      </c>
      <c r="G50" s="94">
        <v>21140.49</v>
      </c>
      <c r="H50" s="71">
        <f>G50-F50</f>
        <v>0</v>
      </c>
      <c r="I50" s="209">
        <f>G50/F50</f>
        <v>1</v>
      </c>
      <c r="J50" s="72">
        <f>#N/A</f>
        <v>-177614.51</v>
      </c>
      <c r="K50" s="75">
        <f>G50/E50</f>
        <v>0.10636456944479385</v>
      </c>
      <c r="L50" s="72"/>
      <c r="M50" s="72"/>
      <c r="N50" s="72"/>
      <c r="O50" s="72">
        <v>178270.24</v>
      </c>
      <c r="P50" s="72">
        <f>#N/A</f>
        <v>20484.76000000001</v>
      </c>
      <c r="Q50" s="75">
        <f>#N/A</f>
        <v>1.11490846705541</v>
      </c>
      <c r="R50" s="85">
        <v>17048.54</v>
      </c>
      <c r="S50" s="85">
        <f>#N/A</f>
        <v>4091.9500000000007</v>
      </c>
      <c r="T50" s="153">
        <f>#N/A</f>
        <v>1.2400176202771616</v>
      </c>
      <c r="U50" s="73">
        <f>#N/A</f>
        <v>21140.49</v>
      </c>
      <c r="V50" s="98">
        <f>#N/A</f>
        <v>21140.49</v>
      </c>
      <c r="W50" s="74">
        <f>#N/A</f>
        <v>0</v>
      </c>
      <c r="X50" s="75">
        <f>V50/U50</f>
        <v>1</v>
      </c>
      <c r="Y50" s="199">
        <f>#N/A</f>
        <v>0.12510915322175165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21.8</v>
      </c>
      <c r="G51" s="94">
        <v>21.84</v>
      </c>
      <c r="H51" s="71">
        <f>G51-F51</f>
        <v>0.03999999999999915</v>
      </c>
      <c r="I51" s="209">
        <f>G51/F51</f>
        <v>1.001834862385321</v>
      </c>
      <c r="J51" s="72">
        <f>#N/A</f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>#N/A</f>
        <v>13.170000000000002</v>
      </c>
      <c r="Q51" s="75">
        <f>#N/A</f>
        <v>1.1947360638769777</v>
      </c>
      <c r="R51" s="85">
        <v>16.11</v>
      </c>
      <c r="S51" s="85">
        <f>#N/A</f>
        <v>5.73</v>
      </c>
      <c r="T51" s="153">
        <f>#N/A</f>
        <v>1.3556797020484173</v>
      </c>
      <c r="U51" s="73">
        <f>#N/A</f>
        <v>21.8</v>
      </c>
      <c r="V51" s="98">
        <f>#N/A</f>
        <v>21.84</v>
      </c>
      <c r="W51" s="74">
        <f>#N/A</f>
        <v>0.03999999999999915</v>
      </c>
      <c r="X51" s="75">
        <f>V51/U51</f>
        <v>1.001834862385321</v>
      </c>
      <c r="Y51" s="199">
        <f>#N/A</f>
        <v>0.16094363817143953</v>
      </c>
    </row>
    <row r="52" spans="1:25" s="6" customFormat="1" ht="15" customHeight="1" hidden="1">
      <c r="A52" s="8"/>
      <c r="B52" s="164"/>
      <c r="C52" s="34"/>
      <c r="D52" s="34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>#N/A</f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>#N/A</f>
        <v>0</v>
      </c>
      <c r="T52" s="154"/>
      <c r="U52" s="91">
        <f>#N/A</f>
        <v>0</v>
      </c>
      <c r="V52" s="99">
        <f>#N/A</f>
        <v>0</v>
      </c>
      <c r="W52" s="111">
        <f>#N/A</f>
        <v>0</v>
      </c>
      <c r="X52" s="67"/>
      <c r="Y52" s="199">
        <f>#N/A</f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3247.7599999999998</v>
      </c>
      <c r="G53" s="103">
        <f>G54+G55+G56+G57+G58+G60+G62+G63+G64+G65+G66+G71+G72+G76+G59+G61</f>
        <v>3247.7599999999993</v>
      </c>
      <c r="H53" s="103">
        <f>H54+H55+H56+H57+H58+H60+H62+H63+H64+H65+H66+H71+H72+H76+H59+H61</f>
        <v>-9.325873406851315E-14</v>
      </c>
      <c r="I53" s="143">
        <f>#N/A</f>
        <v>0.9999999999999999</v>
      </c>
      <c r="J53" s="104">
        <f>G53-E53</f>
        <v>-44001.14</v>
      </c>
      <c r="K53" s="156">
        <f>#N/A</f>
        <v>0.06873726160820673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>#N/A</f>
        <v>-979.9700000000003</v>
      </c>
      <c r="T53" s="143">
        <f>G53/R53</f>
        <v>0.7682042136087214</v>
      </c>
      <c r="U53" s="103">
        <f>U54+U55+U56+U57+U58+U60+U62+U63+U64+U65+U66+U71+U72+U76+U59+U61</f>
        <v>3247.7599999999998</v>
      </c>
      <c r="V53" s="103">
        <f>V54+V55+V56+V57+V58+V60+V62+V63+V64+V65+V66+V71+V72+V76+V59+V61</f>
        <v>3247.7599999999993</v>
      </c>
      <c r="W53" s="103">
        <f>W54+W55+W56+W57+W58+W60+W62+W63+W64+W65+W66+W71+W72+W76</f>
        <v>6.549999999999907</v>
      </c>
      <c r="X53" s="143">
        <f>V53/U53</f>
        <v>0.9999999999999999</v>
      </c>
      <c r="Y53" s="199">
        <f>#N/A</f>
        <v>0.08719768991879939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v>1.11</v>
      </c>
      <c r="G54" s="106">
        <v>1.11</v>
      </c>
      <c r="H54" s="102">
        <f>#N/A</f>
        <v>0</v>
      </c>
      <c r="I54" s="213">
        <f>#N/A</f>
        <v>1</v>
      </c>
      <c r="J54" s="115">
        <f>G54-E54</f>
        <v>-2648.89</v>
      </c>
      <c r="K54" s="155">
        <f>#N/A</f>
        <v>0.0004188679245283019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8.18</v>
      </c>
      <c r="S54" s="115">
        <f>#N/A</f>
        <v>-7.069999999999999</v>
      </c>
      <c r="T54" s="155">
        <f>G54/R54</f>
        <v>0.13569682151589244</v>
      </c>
      <c r="U54" s="107">
        <f>F54</f>
        <v>1.11</v>
      </c>
      <c r="V54" s="110">
        <f>G54</f>
        <v>1.11</v>
      </c>
      <c r="W54" s="111">
        <f>#N/A</f>
        <v>0</v>
      </c>
      <c r="X54" s="155">
        <f>V54/U54</f>
        <v>1</v>
      </c>
      <c r="Y54" s="199">
        <f>#N/A</f>
        <v>-0.8703928685325517</v>
      </c>
    </row>
    <row r="55" spans="1:32" s="6" customFormat="1" ht="30.75">
      <c r="A55" s="8"/>
      <c r="B55" s="87" t="s">
        <v>64</v>
      </c>
      <c r="C55" s="33">
        <v>21050000</v>
      </c>
      <c r="D55" s="247">
        <v>5000</v>
      </c>
      <c r="E55" s="102">
        <v>5000</v>
      </c>
      <c r="F55" s="102">
        <v>0</v>
      </c>
      <c r="G55" s="106">
        <v>0</v>
      </c>
      <c r="H55" s="102">
        <f>#N/A</f>
        <v>0</v>
      </c>
      <c r="I55" s="213" t="e">
        <f>#N/A</f>
        <v>#DIV/0!</v>
      </c>
      <c r="J55" s="115">
        <f>#N/A</f>
        <v>-5000</v>
      </c>
      <c r="K55" s="155">
        <f>#N/A</f>
        <v>0</v>
      </c>
      <c r="L55" s="115"/>
      <c r="M55" s="115"/>
      <c r="N55" s="115"/>
      <c r="O55" s="115">
        <v>27997.6</v>
      </c>
      <c r="P55" s="115">
        <f>#N/A</f>
        <v>-22997.6</v>
      </c>
      <c r="Q55" s="155">
        <f>#N/A</f>
        <v>0.17858673600594338</v>
      </c>
      <c r="R55" s="115">
        <v>0</v>
      </c>
      <c r="S55" s="115">
        <f>#N/A</f>
        <v>0</v>
      </c>
      <c r="T55" s="155" t="e">
        <f>#N/A</f>
        <v>#DIV/0!</v>
      </c>
      <c r="U55" s="107">
        <f>#N/A</f>
        <v>0</v>
      </c>
      <c r="V55" s="110">
        <f>#N/A</f>
        <v>0</v>
      </c>
      <c r="W55" s="111">
        <f>#N/A</f>
        <v>0</v>
      </c>
      <c r="X55" s="155" t="e">
        <f>#N/A</f>
        <v>#DIV/0!</v>
      </c>
      <c r="Y55" s="199" t="e">
        <f>#N/A</f>
        <v>#DIV/0!</v>
      </c>
      <c r="AF55" s="101"/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0</v>
      </c>
      <c r="G56" s="106">
        <v>0</v>
      </c>
      <c r="H56" s="102">
        <f>#N/A</f>
        <v>0</v>
      </c>
      <c r="I56" s="213" t="e">
        <f>#N/A</f>
        <v>#DIV/0!</v>
      </c>
      <c r="J56" s="115">
        <f>#N/A</f>
        <v>-158</v>
      </c>
      <c r="K56" s="155">
        <f>#N/A</f>
        <v>0</v>
      </c>
      <c r="L56" s="115"/>
      <c r="M56" s="115"/>
      <c r="N56" s="115"/>
      <c r="O56" s="115">
        <v>153.3</v>
      </c>
      <c r="P56" s="115">
        <f>#N/A</f>
        <v>4.699999999999989</v>
      </c>
      <c r="Q56" s="155">
        <f>#N/A</f>
        <v>1.030658838878017</v>
      </c>
      <c r="R56" s="115">
        <v>14.87</v>
      </c>
      <c r="S56" s="115">
        <f>#N/A</f>
        <v>-14.87</v>
      </c>
      <c r="T56" s="155">
        <f>#N/A</f>
        <v>0</v>
      </c>
      <c r="U56" s="107">
        <f>#N/A</f>
        <v>0</v>
      </c>
      <c r="V56" s="110">
        <f>#N/A</f>
        <v>0</v>
      </c>
      <c r="W56" s="111">
        <f>#N/A</f>
        <v>0</v>
      </c>
      <c r="X56" s="155" t="e">
        <f>#N/A</f>
        <v>#DIV/0!</v>
      </c>
      <c r="Y56" s="199">
        <f>#N/A</f>
        <v>-1.030658838878017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2</v>
      </c>
      <c r="G57" s="106">
        <v>2.02</v>
      </c>
      <c r="H57" s="102">
        <f>#N/A</f>
        <v>0.020000000000000018</v>
      </c>
      <c r="I57" s="213">
        <f>#N/A</f>
        <v>1.01</v>
      </c>
      <c r="J57" s="115">
        <f>#N/A</f>
        <v>-10.98</v>
      </c>
      <c r="K57" s="155">
        <f>#N/A</f>
        <v>0.1553846153846154</v>
      </c>
      <c r="L57" s="115"/>
      <c r="M57" s="115"/>
      <c r="N57" s="115"/>
      <c r="O57" s="115">
        <v>12.95</v>
      </c>
      <c r="P57" s="115">
        <f>#N/A</f>
        <v>0.05000000000000071</v>
      </c>
      <c r="Q57" s="225">
        <f>#N/A</f>
        <v>1.0038610038610039</v>
      </c>
      <c r="R57" s="115">
        <v>0</v>
      </c>
      <c r="S57" s="115">
        <f>#N/A</f>
        <v>2.02</v>
      </c>
      <c r="T57" s="155"/>
      <c r="U57" s="107">
        <f>#N/A</f>
        <v>2</v>
      </c>
      <c r="V57" s="110">
        <f>#N/A</f>
        <v>2.02</v>
      </c>
      <c r="W57" s="111">
        <f>#N/A</f>
        <v>0.020000000000000018</v>
      </c>
      <c r="X57" s="155">
        <f>#N/A</f>
        <v>1.01</v>
      </c>
      <c r="Y57" s="199">
        <f>#N/A</f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28.43</v>
      </c>
      <c r="G58" s="106">
        <v>28.43</v>
      </c>
      <c r="H58" s="102">
        <f>#N/A</f>
        <v>0</v>
      </c>
      <c r="I58" s="213">
        <f>#N/A</f>
        <v>1</v>
      </c>
      <c r="J58" s="115">
        <f>#N/A</f>
        <v>-715.57</v>
      </c>
      <c r="K58" s="155">
        <f>#N/A</f>
        <v>0.03821236559139785</v>
      </c>
      <c r="L58" s="115"/>
      <c r="M58" s="115"/>
      <c r="N58" s="115"/>
      <c r="O58" s="115">
        <v>705.31</v>
      </c>
      <c r="P58" s="115">
        <f>#N/A</f>
        <v>38.690000000000055</v>
      </c>
      <c r="Q58" s="155">
        <f>#N/A</f>
        <v>1.0548553118486907</v>
      </c>
      <c r="R58" s="115">
        <v>11.17</v>
      </c>
      <c r="S58" s="115">
        <f>#N/A</f>
        <v>17.259999999999998</v>
      </c>
      <c r="T58" s="155">
        <f>#N/A</f>
        <v>2.5452103849597134</v>
      </c>
      <c r="U58" s="107">
        <f>#N/A</f>
        <v>28.43</v>
      </c>
      <c r="V58" s="110">
        <f>#N/A</f>
        <v>28.43</v>
      </c>
      <c r="W58" s="111">
        <f>#N/A</f>
        <v>0</v>
      </c>
      <c r="X58" s="155">
        <f>#N/A</f>
        <v>1</v>
      </c>
      <c r="Y58" s="199">
        <f>#N/A</f>
        <v>1.4903550731110227</v>
      </c>
    </row>
    <row r="59" spans="1:28" s="6" customFormat="1" ht="46.5">
      <c r="A59" s="8"/>
      <c r="B59" s="192" t="s">
        <v>67</v>
      </c>
      <c r="C59" s="57">
        <v>21081500</v>
      </c>
      <c r="D59" s="249">
        <v>115.5</v>
      </c>
      <c r="E59" s="102">
        <v>115.5</v>
      </c>
      <c r="F59" s="102">
        <v>0</v>
      </c>
      <c r="G59" s="106">
        <v>-6.55</v>
      </c>
      <c r="H59" s="102">
        <f>#N/A</f>
        <v>-6.55</v>
      </c>
      <c r="I59" s="213" t="e">
        <f>#N/A</f>
        <v>#DIV/0!</v>
      </c>
      <c r="J59" s="115">
        <f>#N/A</f>
        <v>-122.05</v>
      </c>
      <c r="K59" s="155">
        <f>#N/A</f>
        <v>-0.05670995670995671</v>
      </c>
      <c r="L59" s="115"/>
      <c r="M59" s="115"/>
      <c r="N59" s="115"/>
      <c r="O59" s="115">
        <v>114.3</v>
      </c>
      <c r="P59" s="115">
        <f>#N/A</f>
        <v>1.2000000000000028</v>
      </c>
      <c r="Q59" s="155">
        <f>#N/A</f>
        <v>1.010498687664042</v>
      </c>
      <c r="R59" s="115">
        <v>0</v>
      </c>
      <c r="S59" s="115">
        <f>#N/A</f>
        <v>-6.55</v>
      </c>
      <c r="T59" s="155" t="e">
        <f>#N/A</f>
        <v>#DIV/0!</v>
      </c>
      <c r="U59" s="107">
        <f>#N/A</f>
        <v>0</v>
      </c>
      <c r="V59" s="110">
        <f>#N/A</f>
        <v>-6.55</v>
      </c>
      <c r="W59" s="111">
        <f>#N/A</f>
        <v>-6.55</v>
      </c>
      <c r="X59" s="155" t="e">
        <f>#N/A</f>
        <v>#DIV/0!</v>
      </c>
      <c r="Y59" s="199" t="e">
        <f>#N/A</f>
        <v>#DIV/0!</v>
      </c>
      <c r="AB59" s="101"/>
    </row>
    <row r="60" spans="1:25" s="6" customFormat="1" ht="30.75">
      <c r="A60" s="8"/>
      <c r="B60" s="192" t="s">
        <v>89</v>
      </c>
      <c r="C60" s="40">
        <v>22010300</v>
      </c>
      <c r="D60" s="250">
        <v>1284</v>
      </c>
      <c r="E60" s="102">
        <v>1284</v>
      </c>
      <c r="F60" s="102">
        <v>89.19</v>
      </c>
      <c r="G60" s="106">
        <v>89.19</v>
      </c>
      <c r="H60" s="102">
        <f>#N/A</f>
        <v>0</v>
      </c>
      <c r="I60" s="213">
        <f>#N/A</f>
        <v>1</v>
      </c>
      <c r="J60" s="115">
        <f>#N/A</f>
        <v>-1194.81</v>
      </c>
      <c r="K60" s="155">
        <f>#N/A</f>
        <v>0.0694626168224299</v>
      </c>
      <c r="L60" s="115"/>
      <c r="M60" s="115"/>
      <c r="N60" s="115"/>
      <c r="O60" s="115">
        <v>1205.14</v>
      </c>
      <c r="P60" s="115">
        <f>#N/A</f>
        <v>78.8599999999999</v>
      </c>
      <c r="Q60" s="155">
        <f>#N/A</f>
        <v>1.0654363808354215</v>
      </c>
      <c r="R60" s="115">
        <v>89.45</v>
      </c>
      <c r="S60" s="115">
        <f>#N/A</f>
        <v>-0.2600000000000051</v>
      </c>
      <c r="T60" s="155">
        <f>#N/A</f>
        <v>0.9970933482392398</v>
      </c>
      <c r="U60" s="107">
        <f>#N/A</f>
        <v>89.19</v>
      </c>
      <c r="V60" s="110">
        <f>#N/A</f>
        <v>89.19</v>
      </c>
      <c r="W60" s="111">
        <f>#N/A</f>
        <v>0</v>
      </c>
      <c r="X60" s="155">
        <f>#N/A</f>
        <v>1</v>
      </c>
      <c r="Y60" s="199">
        <f>#N/A</f>
        <v>-0.06834303259618169</v>
      </c>
    </row>
    <row r="61" spans="1:25" s="6" customFormat="1" ht="18" hidden="1">
      <c r="A61" s="8"/>
      <c r="B61" s="88" t="s">
        <v>106</v>
      </c>
      <c r="C61" s="40">
        <v>22010200</v>
      </c>
      <c r="D61" s="236"/>
      <c r="E61" s="102"/>
      <c r="F61" s="102">
        <v>0</v>
      </c>
      <c r="G61" s="106">
        <v>0</v>
      </c>
      <c r="H61" s="102">
        <f>#N/A</f>
        <v>0</v>
      </c>
      <c r="I61" s="213" t="e">
        <f>#N/A</f>
        <v>#DIV/0!</v>
      </c>
      <c r="J61" s="115">
        <f>#N/A</f>
        <v>0</v>
      </c>
      <c r="K61" s="155" t="e">
        <f>#N/A</f>
        <v>#DIV/0!</v>
      </c>
      <c r="L61" s="115"/>
      <c r="M61" s="115"/>
      <c r="N61" s="115"/>
      <c r="O61" s="115">
        <v>23.38</v>
      </c>
      <c r="P61" s="115">
        <f>#N/A</f>
        <v>-23.38</v>
      </c>
      <c r="Q61" s="155">
        <f>#N/A</f>
        <v>0</v>
      </c>
      <c r="R61" s="115">
        <v>0</v>
      </c>
      <c r="S61" s="115">
        <f>#N/A</f>
        <v>0</v>
      </c>
      <c r="T61" s="155"/>
      <c r="U61" s="107">
        <f>#N/A</f>
        <v>0</v>
      </c>
      <c r="V61" s="110">
        <f>#N/A</f>
        <v>0</v>
      </c>
      <c r="W61" s="111">
        <f>#N/A</f>
        <v>0</v>
      </c>
      <c r="X61" s="155" t="e">
        <f>#N/A</f>
        <v>#DIV/0!</v>
      </c>
      <c r="Y61" s="199">
        <f>#N/A</f>
        <v>0</v>
      </c>
    </row>
    <row r="62" spans="1:25" s="6" customFormat="1" ht="18">
      <c r="A62" s="8"/>
      <c r="B62" s="193" t="s">
        <v>65</v>
      </c>
      <c r="C62" s="57">
        <v>22012500</v>
      </c>
      <c r="D62" s="249">
        <v>21260</v>
      </c>
      <c r="E62" s="102">
        <v>21260</v>
      </c>
      <c r="F62" s="102">
        <v>1890</v>
      </c>
      <c r="G62" s="106">
        <v>1894.1</v>
      </c>
      <c r="H62" s="102">
        <f>#N/A</f>
        <v>4.099999999999909</v>
      </c>
      <c r="I62" s="213">
        <f>#N/A</f>
        <v>1.002169312169312</v>
      </c>
      <c r="J62" s="115">
        <f>#N/A</f>
        <v>-19365.9</v>
      </c>
      <c r="K62" s="155">
        <f>#N/A</f>
        <v>0.08909219190968955</v>
      </c>
      <c r="L62" s="115"/>
      <c r="M62" s="115"/>
      <c r="N62" s="115"/>
      <c r="O62" s="115">
        <v>20110.14</v>
      </c>
      <c r="P62" s="115">
        <f>#N/A</f>
        <v>1149.8600000000006</v>
      </c>
      <c r="Q62" s="155">
        <f>#N/A</f>
        <v>1.0571781200926498</v>
      </c>
      <c r="R62" s="115">
        <v>1052.56</v>
      </c>
      <c r="S62" s="115">
        <f>#N/A</f>
        <v>841.54</v>
      </c>
      <c r="T62" s="155">
        <f>#N/A</f>
        <v>1.7995173671809683</v>
      </c>
      <c r="U62" s="107">
        <f>#N/A</f>
        <v>1890</v>
      </c>
      <c r="V62" s="110">
        <f>#N/A</f>
        <v>1894.1</v>
      </c>
      <c r="W62" s="111">
        <f>#N/A</f>
        <v>4.099999999999909</v>
      </c>
      <c r="X62" s="155">
        <f>#N/A</f>
        <v>1.002169312169312</v>
      </c>
      <c r="Y62" s="199">
        <f>#N/A</f>
        <v>0.7423392470883186</v>
      </c>
    </row>
    <row r="63" spans="1:25" s="6" customFormat="1" ht="31.5">
      <c r="A63" s="8"/>
      <c r="B63" s="193" t="s">
        <v>86</v>
      </c>
      <c r="C63" s="57">
        <v>22012600</v>
      </c>
      <c r="D63" s="249">
        <v>767</v>
      </c>
      <c r="E63" s="102">
        <v>767</v>
      </c>
      <c r="F63" s="102">
        <f>56.1+0.9</f>
        <v>57</v>
      </c>
      <c r="G63" s="106">
        <v>59.37</v>
      </c>
      <c r="H63" s="102">
        <f>#N/A</f>
        <v>2.3699999999999974</v>
      </c>
      <c r="I63" s="213">
        <f>#N/A</f>
        <v>1.041578947368421</v>
      </c>
      <c r="J63" s="115">
        <f>#N/A</f>
        <v>-707.63</v>
      </c>
      <c r="K63" s="155">
        <f>#N/A</f>
        <v>0.07740547588005214</v>
      </c>
      <c r="L63" s="115"/>
      <c r="M63" s="115"/>
      <c r="N63" s="115"/>
      <c r="O63" s="115">
        <v>710.04</v>
      </c>
      <c r="P63" s="115">
        <f>#N/A</f>
        <v>56.960000000000036</v>
      </c>
      <c r="Q63" s="155">
        <f>#N/A</f>
        <v>1.0802208326291478</v>
      </c>
      <c r="R63" s="115">
        <v>44.53</v>
      </c>
      <c r="S63" s="115">
        <f>#N/A</f>
        <v>14.839999999999996</v>
      </c>
      <c r="T63" s="155">
        <f>#N/A</f>
        <v>1.3332584774309453</v>
      </c>
      <c r="U63" s="107">
        <f>#N/A</f>
        <v>57</v>
      </c>
      <c r="V63" s="110">
        <f>#N/A</f>
        <v>59.37</v>
      </c>
      <c r="W63" s="111">
        <f>#N/A</f>
        <v>2.3699999999999974</v>
      </c>
      <c r="X63" s="155">
        <f>#N/A</f>
        <v>1.041578947368421</v>
      </c>
      <c r="Y63" s="199">
        <f>#N/A</f>
        <v>0.25303764480179747</v>
      </c>
    </row>
    <row r="64" spans="1:25" s="6" customFormat="1" ht="31.5">
      <c r="A64" s="8"/>
      <c r="B64" s="26" t="s">
        <v>90</v>
      </c>
      <c r="C64" s="57">
        <v>22012900</v>
      </c>
      <c r="D64" s="249">
        <v>44</v>
      </c>
      <c r="E64" s="102">
        <v>44</v>
      </c>
      <c r="F64" s="102">
        <v>1</v>
      </c>
      <c r="G64" s="106">
        <v>1.06</v>
      </c>
      <c r="H64" s="102">
        <f>#N/A</f>
        <v>0.06000000000000005</v>
      </c>
      <c r="I64" s="213">
        <f>#N/A</f>
        <v>1.06</v>
      </c>
      <c r="J64" s="115">
        <f>#N/A</f>
        <v>-42.94</v>
      </c>
      <c r="K64" s="155">
        <f>#N/A</f>
        <v>0.024090909090909093</v>
      </c>
      <c r="L64" s="115"/>
      <c r="M64" s="115"/>
      <c r="N64" s="115"/>
      <c r="O64" s="115">
        <v>41.44</v>
      </c>
      <c r="P64" s="115">
        <f>#N/A</f>
        <v>2.5600000000000023</v>
      </c>
      <c r="Q64" s="155">
        <f>#N/A</f>
        <v>1.0617760617760619</v>
      </c>
      <c r="R64" s="115">
        <v>0</v>
      </c>
      <c r="S64" s="115">
        <f>#N/A</f>
        <v>1.06</v>
      </c>
      <c r="T64" s="155" t="e">
        <f>#N/A</f>
        <v>#DIV/0!</v>
      </c>
      <c r="U64" s="107">
        <f>#N/A</f>
        <v>1</v>
      </c>
      <c r="V64" s="110">
        <f>#N/A</f>
        <v>1.06</v>
      </c>
      <c r="W64" s="111">
        <f>#N/A</f>
        <v>0.06000000000000005</v>
      </c>
      <c r="X64" s="155">
        <f>#N/A</f>
        <v>1.06</v>
      </c>
      <c r="Y64" s="199" t="e">
        <f>#N/A</f>
        <v>#DIV/0!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564.14</v>
      </c>
      <c r="G65" s="106">
        <v>564.14</v>
      </c>
      <c r="H65" s="102">
        <f>#N/A</f>
        <v>0</v>
      </c>
      <c r="I65" s="213">
        <f>#N/A</f>
        <v>1</v>
      </c>
      <c r="J65" s="115">
        <f>#N/A</f>
        <v>-5435.86</v>
      </c>
      <c r="K65" s="155">
        <f>#N/A</f>
        <v>0.09402333333333333</v>
      </c>
      <c r="L65" s="115"/>
      <c r="M65" s="115"/>
      <c r="N65" s="115"/>
      <c r="O65" s="115">
        <v>6545.96</v>
      </c>
      <c r="P65" s="115">
        <f>#N/A</f>
        <v>-545.96</v>
      </c>
      <c r="Q65" s="155">
        <f>#N/A</f>
        <v>0.9165958850955398</v>
      </c>
      <c r="R65" s="115">
        <v>684.99</v>
      </c>
      <c r="S65" s="115">
        <f>#N/A</f>
        <v>-120.85000000000002</v>
      </c>
      <c r="T65" s="155">
        <f>#N/A</f>
        <v>0.8235740667746974</v>
      </c>
      <c r="U65" s="107">
        <f>#N/A</f>
        <v>564.14</v>
      </c>
      <c r="V65" s="110">
        <f>#N/A</f>
        <v>564.14</v>
      </c>
      <c r="W65" s="111">
        <f>#N/A</f>
        <v>0</v>
      </c>
      <c r="X65" s="155">
        <f>#N/A</f>
        <v>1</v>
      </c>
      <c r="Y65" s="199">
        <f>#N/A</f>
        <v>-0.09302181832084244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v>866</v>
      </c>
      <c r="F66" s="102">
        <v>46.24</v>
      </c>
      <c r="G66" s="106">
        <v>46.24</v>
      </c>
      <c r="H66" s="102">
        <f>#N/A</f>
        <v>0</v>
      </c>
      <c r="I66" s="213">
        <f>#N/A</f>
        <v>1</v>
      </c>
      <c r="J66" s="115">
        <f>#N/A</f>
        <v>-819.76</v>
      </c>
      <c r="K66" s="155">
        <f>#N/A</f>
        <v>0.05339491916859122</v>
      </c>
      <c r="L66" s="115"/>
      <c r="M66" s="115"/>
      <c r="N66" s="115"/>
      <c r="O66" s="115">
        <v>896.22</v>
      </c>
      <c r="P66" s="115">
        <f>#N/A</f>
        <v>-30.220000000000027</v>
      </c>
      <c r="Q66" s="155">
        <f>#N/A</f>
        <v>0.9662806007453527</v>
      </c>
      <c r="R66" s="115">
        <v>40.09</v>
      </c>
      <c r="S66" s="115">
        <f>#N/A</f>
        <v>6.149999999999999</v>
      </c>
      <c r="T66" s="155">
        <f>#N/A</f>
        <v>1.153404839111998</v>
      </c>
      <c r="U66" s="107">
        <f>#N/A</f>
        <v>46.24</v>
      </c>
      <c r="V66" s="110">
        <f>#N/A</f>
        <v>46.24</v>
      </c>
      <c r="W66" s="111">
        <f>#N/A</f>
        <v>0</v>
      </c>
      <c r="X66" s="155">
        <f>#N/A</f>
        <v>1</v>
      </c>
      <c r="Y66" s="199">
        <f>#N/A</f>
        <v>0.18712423836664527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34.42</v>
      </c>
      <c r="G67" s="94">
        <v>34.42</v>
      </c>
      <c r="H67" s="71">
        <f>#N/A</f>
        <v>0</v>
      </c>
      <c r="I67" s="209">
        <f>#N/A</f>
        <v>1</v>
      </c>
      <c r="J67" s="72">
        <f>#N/A</f>
        <v>-693.7800000000001</v>
      </c>
      <c r="K67" s="75">
        <f>#N/A</f>
        <v>0.04726723427629772</v>
      </c>
      <c r="L67" s="72"/>
      <c r="M67" s="72"/>
      <c r="N67" s="72"/>
      <c r="O67" s="72">
        <v>760.62</v>
      </c>
      <c r="P67" s="72">
        <f>#N/A</f>
        <v>-32.41999999999996</v>
      </c>
      <c r="Q67" s="75">
        <f>#N/A</f>
        <v>0.957376876758434</v>
      </c>
      <c r="R67" s="72">
        <v>32.81</v>
      </c>
      <c r="S67" s="203">
        <f>#N/A</f>
        <v>1.6099999999999994</v>
      </c>
      <c r="T67" s="204">
        <f>#N/A</f>
        <v>1.0490704053642181</v>
      </c>
      <c r="U67" s="73">
        <f>#N/A</f>
        <v>34.42</v>
      </c>
      <c r="V67" s="98">
        <f>#N/A</f>
        <v>34.42</v>
      </c>
      <c r="W67" s="74">
        <f>#N/A</f>
        <v>0</v>
      </c>
      <c r="X67" s="75">
        <f>#N/A</f>
        <v>1</v>
      </c>
      <c r="Y67" s="199">
        <f>#N/A</f>
        <v>0.09169352860578417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</v>
      </c>
      <c r="G68" s="94">
        <v>0</v>
      </c>
      <c r="H68" s="71">
        <f>#N/A</f>
        <v>0</v>
      </c>
      <c r="I68" s="209" t="e">
        <f>#N/A</f>
        <v>#DIV/0!</v>
      </c>
      <c r="J68" s="72">
        <f>#N/A</f>
        <v>-1</v>
      </c>
      <c r="K68" s="75">
        <f>#N/A</f>
        <v>0</v>
      </c>
      <c r="L68" s="72"/>
      <c r="M68" s="72"/>
      <c r="N68" s="72"/>
      <c r="O68" s="72">
        <v>0.18</v>
      </c>
      <c r="P68" s="72">
        <f>#N/A</f>
        <v>0.8200000000000001</v>
      </c>
      <c r="Q68" s="75">
        <f>#N/A</f>
        <v>5.555555555555555</v>
      </c>
      <c r="R68" s="72">
        <v>0.01</v>
      </c>
      <c r="S68" s="203">
        <f>#N/A</f>
        <v>-0.01</v>
      </c>
      <c r="T68" s="204">
        <f>#N/A</f>
        <v>0</v>
      </c>
      <c r="U68" s="73">
        <f>#N/A</f>
        <v>0</v>
      </c>
      <c r="V68" s="98">
        <f>#N/A</f>
        <v>0</v>
      </c>
      <c r="W68" s="74">
        <f>#N/A</f>
        <v>0</v>
      </c>
      <c r="X68" s="75"/>
      <c r="Y68" s="199">
        <f>#N/A</f>
        <v>-5.555555555555555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/>
      <c r="F69" s="71">
        <v>0</v>
      </c>
      <c r="G69" s="94">
        <v>0</v>
      </c>
      <c r="H69" s="71">
        <f>#N/A</f>
        <v>0</v>
      </c>
      <c r="I69" s="209" t="e">
        <f>#N/A</f>
        <v>#DIV/0!</v>
      </c>
      <c r="J69" s="72">
        <f>#N/A</f>
        <v>0</v>
      </c>
      <c r="K69" s="75" t="e">
        <f>#N/A</f>
        <v>#DIV/0!</v>
      </c>
      <c r="L69" s="72"/>
      <c r="M69" s="72"/>
      <c r="N69" s="72"/>
      <c r="O69" s="72">
        <v>0</v>
      </c>
      <c r="P69" s="72">
        <f>#N/A</f>
        <v>0</v>
      </c>
      <c r="Q69" s="75" t="e">
        <f>#N/A</f>
        <v>#DIV/0!</v>
      </c>
      <c r="R69" s="72">
        <f>O69</f>
        <v>0</v>
      </c>
      <c r="S69" s="203">
        <f>#N/A</f>
        <v>0</v>
      </c>
      <c r="T69" s="204" t="e">
        <f>#N/A</f>
        <v>#DIV/0!</v>
      </c>
      <c r="U69" s="73">
        <f>#N/A</f>
        <v>0</v>
      </c>
      <c r="V69" s="98">
        <f>#N/A</f>
        <v>0</v>
      </c>
      <c r="W69" s="74">
        <f>#N/A</f>
        <v>0</v>
      </c>
      <c r="X69" s="75"/>
      <c r="Y69" s="199" t="e">
        <f>#N/A</f>
        <v>#DIV/0!</v>
      </c>
    </row>
    <row r="70" spans="1:25" s="6" customFormat="1" ht="15" hidden="1">
      <c r="A70" s="8"/>
      <c r="B70" s="195" t="s">
        <v>83</v>
      </c>
      <c r="C70" s="138">
        <v>22090400</v>
      </c>
      <c r="D70" s="234">
        <v>136.8</v>
      </c>
      <c r="E70" s="71">
        <v>136.8</v>
      </c>
      <c r="F70" s="71">
        <v>11.82</v>
      </c>
      <c r="G70" s="94">
        <v>11.82</v>
      </c>
      <c r="H70" s="71">
        <f>#N/A</f>
        <v>0</v>
      </c>
      <c r="I70" s="209">
        <f>#N/A</f>
        <v>1</v>
      </c>
      <c r="J70" s="72">
        <f>#N/A</f>
        <v>-124.98000000000002</v>
      </c>
      <c r="K70" s="75">
        <f>#N/A</f>
        <v>0.08640350877192982</v>
      </c>
      <c r="L70" s="72"/>
      <c r="M70" s="72"/>
      <c r="N70" s="72"/>
      <c r="O70" s="72">
        <v>135.42</v>
      </c>
      <c r="P70" s="72">
        <f>#N/A</f>
        <v>1.3800000000000239</v>
      </c>
      <c r="Q70" s="75">
        <f>#N/A</f>
        <v>1.01019051838724</v>
      </c>
      <c r="R70" s="72">
        <v>7.27</v>
      </c>
      <c r="S70" s="203">
        <f>#N/A</f>
        <v>4.550000000000001</v>
      </c>
      <c r="T70" s="204">
        <f>#N/A</f>
        <v>1.62585969738652</v>
      </c>
      <c r="U70" s="73">
        <f>#N/A</f>
        <v>11.82</v>
      </c>
      <c r="V70" s="98">
        <f>#N/A</f>
        <v>11.82</v>
      </c>
      <c r="W70" s="74">
        <f>#N/A</f>
        <v>0</v>
      </c>
      <c r="X70" s="75">
        <f>#N/A</f>
        <v>1</v>
      </c>
      <c r="Y70" s="199">
        <f>#N/A</f>
        <v>0.6156691789992801</v>
      </c>
    </row>
    <row r="71" spans="1:25" s="6" customFormat="1" ht="46.5">
      <c r="A71" s="8"/>
      <c r="B71" s="88" t="s">
        <v>17</v>
      </c>
      <c r="C71" s="11" t="s">
        <v>18</v>
      </c>
      <c r="D71" s="253">
        <v>3</v>
      </c>
      <c r="E71" s="102">
        <v>3</v>
      </c>
      <c r="F71" s="102">
        <v>0</v>
      </c>
      <c r="G71" s="106">
        <v>0</v>
      </c>
      <c r="H71" s="102">
        <f>#N/A</f>
        <v>0</v>
      </c>
      <c r="I71" s="213" t="e">
        <f>#N/A</f>
        <v>#DIV/0!</v>
      </c>
      <c r="J71" s="115">
        <f>#N/A</f>
        <v>-3</v>
      </c>
      <c r="K71" s="155">
        <f>#N/A</f>
        <v>0</v>
      </c>
      <c r="L71" s="115"/>
      <c r="M71" s="115"/>
      <c r="N71" s="115"/>
      <c r="O71" s="115">
        <v>2.04</v>
      </c>
      <c r="P71" s="115">
        <f>#N/A</f>
        <v>0.96</v>
      </c>
      <c r="Q71" s="155">
        <f>#N/A</f>
        <v>1.4705882352941175</v>
      </c>
      <c r="R71" s="115">
        <v>1.67</v>
      </c>
      <c r="S71" s="115">
        <f>#N/A</f>
        <v>-1.67</v>
      </c>
      <c r="T71" s="155">
        <f>#N/A</f>
        <v>0</v>
      </c>
      <c r="U71" s="107">
        <f>#N/A</f>
        <v>0</v>
      </c>
      <c r="V71" s="110">
        <f>#N/A</f>
        <v>0</v>
      </c>
      <c r="W71" s="111">
        <f>#N/A</f>
        <v>0</v>
      </c>
      <c r="X71" s="155"/>
      <c r="Y71" s="199">
        <f>#N/A</f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3">
        <v>8170</v>
      </c>
      <c r="E72" s="102">
        <v>8170</v>
      </c>
      <c r="F72" s="102">
        <v>568.65</v>
      </c>
      <c r="G72" s="106">
        <v>568.65</v>
      </c>
      <c r="H72" s="102">
        <f>#N/A</f>
        <v>0</v>
      </c>
      <c r="I72" s="213">
        <f>#N/A</f>
        <v>1</v>
      </c>
      <c r="J72" s="115">
        <f>#N/A</f>
        <v>-7601.35</v>
      </c>
      <c r="K72" s="155">
        <f>#N/A</f>
        <v>0.06960220318237453</v>
      </c>
      <c r="L72" s="115"/>
      <c r="M72" s="115"/>
      <c r="N72" s="115"/>
      <c r="O72" s="115">
        <v>8086.92</v>
      </c>
      <c r="P72" s="115">
        <f>#N/A</f>
        <v>83.07999999999993</v>
      </c>
      <c r="Q72" s="155">
        <f>#N/A</f>
        <v>1.0102733797292418</v>
      </c>
      <c r="R72" s="115">
        <v>2247.33</v>
      </c>
      <c r="S72" s="115">
        <f>#N/A</f>
        <v>-1678.6799999999998</v>
      </c>
      <c r="T72" s="155">
        <f>#N/A</f>
        <v>0.2530335998718479</v>
      </c>
      <c r="U72" s="107">
        <f>#N/A</f>
        <v>568.65</v>
      </c>
      <c r="V72" s="110">
        <f>#N/A</f>
        <v>568.65</v>
      </c>
      <c r="W72" s="111">
        <f>#N/A</f>
        <v>0</v>
      </c>
      <c r="X72" s="155">
        <f>#N/A</f>
        <v>1</v>
      </c>
      <c r="Y72" s="199">
        <f>#N/A</f>
        <v>-0.7572397798573939</v>
      </c>
    </row>
    <row r="73" spans="1:25" s="6" customFormat="1" ht="18" hidden="1">
      <c r="A73" s="8"/>
      <c r="B73" s="12" t="s">
        <v>22</v>
      </c>
      <c r="C73" s="49" t="s">
        <v>23</v>
      </c>
      <c r="D73" s="254"/>
      <c r="E73" s="24"/>
      <c r="F73" s="24">
        <v>0</v>
      </c>
      <c r="G73" s="93">
        <v>0</v>
      </c>
      <c r="H73" s="102">
        <f>#N/A</f>
        <v>0</v>
      </c>
      <c r="I73" s="213" t="e">
        <f>G73/F73*100</f>
        <v>#DIV/0!</v>
      </c>
      <c r="J73" s="115">
        <f>#N/A</f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>#N/A</f>
        <v>0</v>
      </c>
      <c r="T73" s="155" t="e">
        <f>#N/A</f>
        <v>#DIV/0!</v>
      </c>
      <c r="U73" s="107">
        <f>#N/A</f>
        <v>0</v>
      </c>
      <c r="V73" s="110">
        <f>#N/A</f>
        <v>0</v>
      </c>
      <c r="W73" s="111">
        <f>#N/A</f>
        <v>0</v>
      </c>
      <c r="X73" s="155" t="e">
        <f>#N/A</f>
        <v>#DIV/0!</v>
      </c>
      <c r="Y73" s="199" t="e">
        <f>#N/A</f>
        <v>#DIV/0!</v>
      </c>
    </row>
    <row r="74" spans="1:25" s="6" customFormat="1" ht="30.75" hidden="1">
      <c r="A74" s="8"/>
      <c r="B74" s="41" t="s">
        <v>37</v>
      </c>
      <c r="C74" s="49"/>
      <c r="D74" s="254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>#N/A</f>
        <v>0</v>
      </c>
      <c r="U74" s="107">
        <f>#N/A</f>
        <v>0</v>
      </c>
      <c r="V74" s="110">
        <f>#N/A</f>
        <v>0</v>
      </c>
      <c r="W74" s="116">
        <f>#N/A</f>
        <v>0</v>
      </c>
      <c r="X74" s="155"/>
      <c r="Y74" s="199">
        <f>#N/A</f>
        <v>0</v>
      </c>
    </row>
    <row r="75" spans="1:25" s="6" customFormat="1" ht="18" hidden="1">
      <c r="A75" s="8"/>
      <c r="B75" s="89" t="s">
        <v>20</v>
      </c>
      <c r="C75" s="86" t="s">
        <v>21</v>
      </c>
      <c r="D75" s="255"/>
      <c r="E75" s="27"/>
      <c r="F75" s="27">
        <v>0</v>
      </c>
      <c r="G75" s="95">
        <v>0</v>
      </c>
      <c r="H75" s="102">
        <f>#N/A</f>
        <v>0</v>
      </c>
      <c r="I75" s="213" t="e">
        <f>G75/F75*100</f>
        <v>#DIV/0!</v>
      </c>
      <c r="J75" s="115">
        <f>#N/A</f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>#N/A</f>
        <v>0</v>
      </c>
      <c r="T75" s="155" t="e">
        <f>#N/A</f>
        <v>#DIV/0!</v>
      </c>
      <c r="U75" s="107">
        <f>#N/A</f>
        <v>0</v>
      </c>
      <c r="V75" s="110">
        <f>#N/A</f>
        <v>0</v>
      </c>
      <c r="W75" s="111">
        <f>#N/A</f>
        <v>0</v>
      </c>
      <c r="X75" s="155" t="e">
        <f>#N/A</f>
        <v>#DIV/0!</v>
      </c>
      <c r="Y75" s="199" t="e">
        <f>#N/A</f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0</v>
      </c>
      <c r="G76" s="106">
        <v>0</v>
      </c>
      <c r="H76" s="102">
        <f>#N/A</f>
        <v>0</v>
      </c>
      <c r="I76" s="213" t="e">
        <f>G76/F76</f>
        <v>#DIV/0!</v>
      </c>
      <c r="J76" s="115">
        <f>#N/A</f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>#N/A</f>
        <v>-32.89</v>
      </c>
      <c r="T76" s="155">
        <f>#N/A</f>
        <v>0</v>
      </c>
      <c r="U76" s="107">
        <f>#N/A</f>
        <v>0</v>
      </c>
      <c r="V76" s="110">
        <f>#N/A</f>
        <v>0</v>
      </c>
      <c r="W76" s="111">
        <f>#N/A</f>
        <v>0</v>
      </c>
      <c r="X76" s="155" t="e">
        <f>#N/A</f>
        <v>#DIV/0!</v>
      </c>
      <c r="Y76" s="199">
        <f>#N/A</f>
        <v>-1.2266141510761006</v>
      </c>
    </row>
    <row r="77" spans="1:28" s="6" customFormat="1" ht="27.75" customHeight="1">
      <c r="A77" s="8"/>
      <c r="B77" s="89" t="s">
        <v>39</v>
      </c>
      <c r="C77" s="34">
        <v>31010200</v>
      </c>
      <c r="D77" s="233">
        <v>35</v>
      </c>
      <c r="E77" s="102">
        <v>35</v>
      </c>
      <c r="F77" s="102">
        <v>3.77</v>
      </c>
      <c r="G77" s="106">
        <v>3.77</v>
      </c>
      <c r="H77" s="102">
        <f>#N/A</f>
        <v>0</v>
      </c>
      <c r="I77" s="213">
        <f>G77/F77</f>
        <v>1</v>
      </c>
      <c r="J77" s="115">
        <f>#N/A</f>
        <v>-31.23</v>
      </c>
      <c r="K77" s="155">
        <f>G77/E77</f>
        <v>0.10771428571428572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1.49</v>
      </c>
      <c r="S77" s="115">
        <f>#N/A</f>
        <v>2.2800000000000002</v>
      </c>
      <c r="T77" s="155">
        <f>#N/A</f>
        <v>2.530201342281879</v>
      </c>
      <c r="U77" s="107">
        <f>#N/A</f>
        <v>3.77</v>
      </c>
      <c r="V77" s="110">
        <f>#N/A</f>
        <v>3.77</v>
      </c>
      <c r="W77" s="111">
        <f>#N/A</f>
        <v>0</v>
      </c>
      <c r="X77" s="155">
        <f>#N/A</f>
        <v>1</v>
      </c>
      <c r="Y77" s="199">
        <f>#N/A</f>
        <v>1.5074076543800674</v>
      </c>
      <c r="AB77" s="101"/>
    </row>
    <row r="78" spans="1:25" s="6" customFormat="1" ht="30.75" hidden="1">
      <c r="A78" s="8"/>
      <c r="B78" s="89" t="s">
        <v>49</v>
      </c>
      <c r="C78" s="34">
        <v>31020000</v>
      </c>
      <c r="D78" s="229"/>
      <c r="E78" s="102"/>
      <c r="F78" s="102">
        <f>E78</f>
        <v>0</v>
      </c>
      <c r="G78" s="106">
        <v>0</v>
      </c>
      <c r="H78" s="102">
        <f>#N/A</f>
        <v>0</v>
      </c>
      <c r="I78" s="213" t="e">
        <f>G78/F78</f>
        <v>#DIV/0!</v>
      </c>
      <c r="J78" s="115">
        <f>#N/A</f>
        <v>0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0</v>
      </c>
      <c r="S78" s="115">
        <f>#N/A</f>
        <v>0</v>
      </c>
      <c r="T78" s="155" t="e">
        <f>#N/A</f>
        <v>#DIV/0!</v>
      </c>
      <c r="U78" s="107">
        <f>#N/A</f>
        <v>0</v>
      </c>
      <c r="V78" s="110">
        <f>#N/A</f>
        <v>0</v>
      </c>
      <c r="W78" s="111">
        <f>#N/A</f>
        <v>0</v>
      </c>
      <c r="X78" s="155"/>
      <c r="Y78" s="199" t="e">
        <f>#N/A</f>
        <v>#DIV/0!</v>
      </c>
    </row>
    <row r="79" spans="1:25" s="6" customFormat="1" ht="17.25">
      <c r="A79" s="9"/>
      <c r="B79" s="13" t="s">
        <v>104</v>
      </c>
      <c r="C79" s="50"/>
      <c r="D79" s="103">
        <f>D8+D53+D77+D78</f>
        <v>1627917.7</v>
      </c>
      <c r="E79" s="103">
        <f>E8+E53+E77+E78</f>
        <v>1627917.7</v>
      </c>
      <c r="F79" s="103">
        <f>F8+F53+F77+F78</f>
        <v>115278.549</v>
      </c>
      <c r="G79" s="103">
        <f>G8+G53+G77+G78</f>
        <v>115278.54</v>
      </c>
      <c r="H79" s="103">
        <f>G79-F79</f>
        <v>-0.00900000000547152</v>
      </c>
      <c r="I79" s="210">
        <f>G79/F79</f>
        <v>0.9999999219282331</v>
      </c>
      <c r="J79" s="104">
        <f>G79-E79</f>
        <v>-1512639.16</v>
      </c>
      <c r="K79" s="156">
        <f>G79/E79</f>
        <v>0.07081349382711423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98086.18</v>
      </c>
      <c r="S79" s="104">
        <f>G79-R79</f>
        <v>17192.36</v>
      </c>
      <c r="T79" s="156">
        <f>G79/R79</f>
        <v>1.1752781074765069</v>
      </c>
      <c r="U79" s="103">
        <f>U8+U53+U77+U78</f>
        <v>115278.549</v>
      </c>
      <c r="V79" s="103">
        <f>V8+V53+V77+V78</f>
        <v>115278.54</v>
      </c>
      <c r="W79" s="135">
        <f>V79-U79</f>
        <v>-0.00900000000547152</v>
      </c>
      <c r="X79" s="156">
        <f>V79/U79</f>
        <v>0.9999999219282331</v>
      </c>
      <c r="Y79" s="199">
        <f>#N/A</f>
        <v>0.011645641959045827</v>
      </c>
    </row>
    <row r="80" spans="1:25" s="39" customFormat="1" ht="17.25" hidden="1">
      <c r="A80" s="36"/>
      <c r="B80" s="43"/>
      <c r="C80" s="51"/>
      <c r="D80" s="51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9">
        <f>#N/A</f>
        <v>0</v>
      </c>
    </row>
    <row r="81" spans="1:25" s="39" customFormat="1" ht="17.25" hidden="1">
      <c r="A81" s="36"/>
      <c r="B81" s="44"/>
      <c r="C81" s="51"/>
      <c r="D81" s="51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9">
        <f>#N/A</f>
        <v>0</v>
      </c>
    </row>
    <row r="82" spans="1:25" s="39" customFormat="1" ht="17.25" hidden="1">
      <c r="A82" s="36"/>
      <c r="B82" s="44"/>
      <c r="C82" s="51"/>
      <c r="D82" s="51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9">
        <f>#N/A</f>
        <v>0</v>
      </c>
    </row>
    <row r="83" spans="2:25" ht="15">
      <c r="B83" s="19" t="s">
        <v>91</v>
      </c>
      <c r="C83" s="52"/>
      <c r="D83" s="52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9">
        <f>#N/A</f>
        <v>0</v>
      </c>
    </row>
    <row r="84" spans="2:25" ht="25.5" customHeight="1" hidden="1">
      <c r="B84" s="165" t="s">
        <v>87</v>
      </c>
      <c r="C84" s="90">
        <v>12020000</v>
      </c>
      <c r="D84" s="241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</f>
        <v>0</v>
      </c>
      <c r="V84" s="110">
        <f>G84</f>
        <v>0.01</v>
      </c>
      <c r="W84" s="117"/>
      <c r="X84" s="147"/>
      <c r="Y84" s="199" t="e">
        <f>#N/A</f>
        <v>#DIV/0!</v>
      </c>
    </row>
    <row r="85" spans="2:25" ht="31.5" hidden="1">
      <c r="B85" s="20" t="s">
        <v>52</v>
      </c>
      <c r="C85" s="58">
        <v>18041500</v>
      </c>
      <c r="D85" s="242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</f>
        <v>0</v>
      </c>
      <c r="V85" s="110">
        <f>G85</f>
        <v>0</v>
      </c>
      <c r="W85" s="117">
        <f>V85-U85</f>
        <v>0</v>
      </c>
      <c r="X85" s="147"/>
      <c r="Y85" s="199" t="e">
        <f>#N/A</f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>#N/A</f>
        <v>0.01</v>
      </c>
      <c r="T86" s="151" t="e">
        <f>#N/A</f>
        <v>#DIV/0!</v>
      </c>
      <c r="U86" s="129">
        <f>SUM(U84:U85)</f>
        <v>0</v>
      </c>
      <c r="V86" s="132">
        <f>SUM(V84:V85)</f>
        <v>0.01</v>
      </c>
      <c r="W86" s="131">
        <f>V86-U86</f>
        <v>0.01</v>
      </c>
      <c r="X86" s="151"/>
      <c r="Y86" s="199" t="e">
        <f>#N/A</f>
        <v>#DIV/0!</v>
      </c>
    </row>
    <row r="87" spans="2:25" ht="45.75" hidden="1">
      <c r="B87" s="22" t="s">
        <v>32</v>
      </c>
      <c r="C87" s="90">
        <v>21110000</v>
      </c>
      <c r="D87" s="241">
        <v>0</v>
      </c>
      <c r="E87" s="127">
        <v>0</v>
      </c>
      <c r="F87" s="127">
        <v>0</v>
      </c>
      <c r="G87" s="128">
        <v>0</v>
      </c>
      <c r="H87" s="129">
        <f>#N/A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>#N/A</f>
        <v>-35.57</v>
      </c>
      <c r="Q87" s="151">
        <f>#N/A</f>
        <v>0</v>
      </c>
      <c r="R87" s="131">
        <v>11.81</v>
      </c>
      <c r="S87" s="131">
        <f>#N/A</f>
        <v>-11.81</v>
      </c>
      <c r="T87" s="147"/>
      <c r="U87" s="130">
        <f>#N/A</f>
        <v>0</v>
      </c>
      <c r="V87" s="174">
        <f>#N/A</f>
        <v>0</v>
      </c>
      <c r="W87" s="131">
        <f>#N/A</f>
        <v>0</v>
      </c>
      <c r="X87" s="151"/>
      <c r="Y87" s="199">
        <f>#N/A</f>
        <v>0</v>
      </c>
    </row>
    <row r="88" spans="2:25" ht="31.5">
      <c r="B88" s="20" t="s">
        <v>28</v>
      </c>
      <c r="C88" s="58">
        <v>31030000</v>
      </c>
      <c r="D88" s="256">
        <v>5000</v>
      </c>
      <c r="E88" s="125">
        <v>5000</v>
      </c>
      <c r="F88" s="125">
        <v>806.429</v>
      </c>
      <c r="G88" s="126">
        <v>806.43</v>
      </c>
      <c r="H88" s="112">
        <f>#N/A</f>
        <v>0.0009999999999763531</v>
      </c>
      <c r="I88" s="213">
        <f>G88/F88</f>
        <v>1.0000012400347706</v>
      </c>
      <c r="J88" s="117">
        <f>G88-E88</f>
        <v>-4193.57</v>
      </c>
      <c r="K88" s="147">
        <f>G88/E88</f>
        <v>0.16128599999999998</v>
      </c>
      <c r="L88" s="117"/>
      <c r="M88" s="117"/>
      <c r="N88" s="117"/>
      <c r="O88" s="117">
        <v>938.14</v>
      </c>
      <c r="P88" s="117">
        <f>#N/A</f>
        <v>4061.86</v>
      </c>
      <c r="Q88" s="147">
        <f>#N/A</f>
        <v>5.329694928262306</v>
      </c>
      <c r="R88" s="117">
        <v>0.04</v>
      </c>
      <c r="S88" s="117">
        <f>#N/A</f>
        <v>806.39</v>
      </c>
      <c r="T88" s="147">
        <f>#N/A</f>
        <v>20160.75</v>
      </c>
      <c r="U88" s="107">
        <f>#N/A</f>
        <v>806.429</v>
      </c>
      <c r="V88" s="110">
        <f>#N/A</f>
        <v>806.43</v>
      </c>
      <c r="W88" s="117">
        <f>#N/A</f>
        <v>0.0009999999999763531</v>
      </c>
      <c r="X88" s="147">
        <f>V88/U88</f>
        <v>1.0000012400347706</v>
      </c>
      <c r="Y88" s="199">
        <f>#N/A</f>
        <v>20155.420305071737</v>
      </c>
    </row>
    <row r="89" spans="2:25" ht="18">
      <c r="B89" s="20" t="s">
        <v>29</v>
      </c>
      <c r="C89" s="58">
        <v>33010000</v>
      </c>
      <c r="D89" s="256">
        <v>16449</v>
      </c>
      <c r="E89" s="125">
        <v>16449</v>
      </c>
      <c r="F89" s="125">
        <v>15</v>
      </c>
      <c r="G89" s="126">
        <v>15</v>
      </c>
      <c r="H89" s="112">
        <f>#N/A</f>
        <v>0</v>
      </c>
      <c r="I89" s="213">
        <f>G89/F89</f>
        <v>1</v>
      </c>
      <c r="J89" s="117">
        <f>#N/A</f>
        <v>-16434</v>
      </c>
      <c r="K89" s="147">
        <f>G89/E89</f>
        <v>0.0009119095385737735</v>
      </c>
      <c r="L89" s="117"/>
      <c r="M89" s="117"/>
      <c r="N89" s="117"/>
      <c r="O89" s="117">
        <v>8143.65</v>
      </c>
      <c r="P89" s="117">
        <f>#N/A</f>
        <v>8305.35</v>
      </c>
      <c r="Q89" s="147">
        <f>#N/A</f>
        <v>2.0198559613932328</v>
      </c>
      <c r="R89" s="117">
        <v>1.9</v>
      </c>
      <c r="S89" s="117">
        <f>#N/A</f>
        <v>13.1</v>
      </c>
      <c r="T89" s="147">
        <f>#N/A</f>
        <v>7.894736842105264</v>
      </c>
      <c r="U89" s="107">
        <f>#N/A</f>
        <v>15</v>
      </c>
      <c r="V89" s="110">
        <f>#N/A</f>
        <v>15</v>
      </c>
      <c r="W89" s="117">
        <f>#N/A</f>
        <v>0</v>
      </c>
      <c r="X89" s="147">
        <f>V89/U89</f>
        <v>1</v>
      </c>
      <c r="Y89" s="199">
        <f>#N/A</f>
        <v>5.8748808807120305</v>
      </c>
    </row>
    <row r="90" spans="2:25" ht="31.5">
      <c r="B90" s="20" t="s">
        <v>48</v>
      </c>
      <c r="C90" s="58">
        <v>24170000</v>
      </c>
      <c r="D90" s="256">
        <v>22000</v>
      </c>
      <c r="E90" s="125">
        <v>22000</v>
      </c>
      <c r="F90" s="125">
        <v>157</v>
      </c>
      <c r="G90" s="126">
        <v>157.01</v>
      </c>
      <c r="H90" s="112">
        <f>#N/A</f>
        <v>0.009999999999990905</v>
      </c>
      <c r="I90" s="213">
        <f>G90/F90</f>
        <v>1.0000636942675158</v>
      </c>
      <c r="J90" s="117">
        <f>#N/A</f>
        <v>-21842.99</v>
      </c>
      <c r="K90" s="147">
        <f>G90/E90</f>
        <v>0.007136818181818182</v>
      </c>
      <c r="L90" s="117"/>
      <c r="M90" s="117"/>
      <c r="N90" s="117"/>
      <c r="O90" s="117">
        <v>17305.88</v>
      </c>
      <c r="P90" s="117">
        <f>#N/A</f>
        <v>4694.119999999999</v>
      </c>
      <c r="Q90" s="147">
        <f>#N/A</f>
        <v>1.2712442245063527</v>
      </c>
      <c r="R90" s="117">
        <v>90.12</v>
      </c>
      <c r="S90" s="117">
        <f>#N/A</f>
        <v>66.88999999999999</v>
      </c>
      <c r="T90" s="147">
        <f>#N/A</f>
        <v>1.7422325787838435</v>
      </c>
      <c r="U90" s="107">
        <f>#N/A</f>
        <v>157</v>
      </c>
      <c r="V90" s="110">
        <f>#N/A</f>
        <v>157.01</v>
      </c>
      <c r="W90" s="117">
        <f>#N/A</f>
        <v>0.009999999999990905</v>
      </c>
      <c r="X90" s="147">
        <f>V90/U90</f>
        <v>1.0000636942675158</v>
      </c>
      <c r="Y90" s="199">
        <f>#N/A</f>
        <v>0.47098835427749086</v>
      </c>
    </row>
    <row r="91" spans="2:25" ht="18">
      <c r="B91" s="20" t="s">
        <v>88</v>
      </c>
      <c r="C91" s="58">
        <v>24110700</v>
      </c>
      <c r="D91" s="256">
        <v>24</v>
      </c>
      <c r="E91" s="125">
        <v>24</v>
      </c>
      <c r="F91" s="125">
        <v>1</v>
      </c>
      <c r="G91" s="126">
        <v>1</v>
      </c>
      <c r="H91" s="112">
        <f>#N/A</f>
        <v>0</v>
      </c>
      <c r="I91" s="213">
        <f>G91/F91</f>
        <v>1</v>
      </c>
      <c r="J91" s="117">
        <f>#N/A</f>
        <v>-23</v>
      </c>
      <c r="K91" s="147">
        <f>G91/E91</f>
        <v>0.041666666666666664</v>
      </c>
      <c r="L91" s="117"/>
      <c r="M91" s="117"/>
      <c r="N91" s="117"/>
      <c r="O91" s="117">
        <v>20</v>
      </c>
      <c r="P91" s="117">
        <f>#N/A</f>
        <v>4</v>
      </c>
      <c r="Q91" s="147">
        <f>#N/A</f>
        <v>1.2</v>
      </c>
      <c r="R91" s="117">
        <v>1</v>
      </c>
      <c r="S91" s="117">
        <f>#N/A</f>
        <v>0</v>
      </c>
      <c r="T91" s="147">
        <f>#N/A</f>
        <v>1</v>
      </c>
      <c r="U91" s="107">
        <f>#N/A</f>
        <v>1</v>
      </c>
      <c r="V91" s="110">
        <f>#N/A</f>
        <v>1</v>
      </c>
      <c r="W91" s="117">
        <f>#N/A</f>
        <v>0</v>
      </c>
      <c r="X91" s="147">
        <f>V91/U91</f>
        <v>1</v>
      </c>
      <c r="Y91" s="199">
        <f>#N/A</f>
        <v>-0.19999999999999996</v>
      </c>
    </row>
    <row r="92" spans="2:25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979.429</v>
      </c>
      <c r="G92" s="128">
        <f>G88+G89+G90+G91</f>
        <v>979.4399999999999</v>
      </c>
      <c r="H92" s="129">
        <f>#N/A</f>
        <v>0.010999999999967258</v>
      </c>
      <c r="I92" s="216">
        <f>G92/F92</f>
        <v>1.000011231033592</v>
      </c>
      <c r="J92" s="131">
        <f>#N/A</f>
        <v>-42493.56</v>
      </c>
      <c r="K92" s="151">
        <f>G92/E92</f>
        <v>0.022529846111379474</v>
      </c>
      <c r="L92" s="131"/>
      <c r="M92" s="131"/>
      <c r="N92" s="131"/>
      <c r="O92" s="131">
        <v>26407.66</v>
      </c>
      <c r="P92" s="131">
        <f>#N/A</f>
        <v>17065.34</v>
      </c>
      <c r="Q92" s="151">
        <f>#N/A</f>
        <v>1.6462268902280626</v>
      </c>
      <c r="R92" s="131">
        <v>93.06</v>
      </c>
      <c r="S92" s="117">
        <f>#N/A</f>
        <v>886.3799999999999</v>
      </c>
      <c r="T92" s="147">
        <f>#N/A</f>
        <v>10.52482269503546</v>
      </c>
      <c r="U92" s="129">
        <f>U88+U89+U90+U91</f>
        <v>979.429</v>
      </c>
      <c r="V92" s="133">
        <f>V88+V89+V90+V91</f>
        <v>979.4399999999999</v>
      </c>
      <c r="W92" s="131">
        <f>#N/A</f>
        <v>0.010999999999967258</v>
      </c>
      <c r="X92" s="151">
        <f>V92/U92</f>
        <v>1.000011231033592</v>
      </c>
      <c r="Y92" s="199">
        <f>#N/A</f>
        <v>8.878595804807398</v>
      </c>
    </row>
    <row r="93" spans="2:25" ht="46.5">
      <c r="B93" s="12" t="s">
        <v>35</v>
      </c>
      <c r="C93" s="60">
        <v>24062100</v>
      </c>
      <c r="D93" s="257">
        <v>43</v>
      </c>
      <c r="E93" s="125">
        <v>43</v>
      </c>
      <c r="F93" s="125">
        <v>0</v>
      </c>
      <c r="G93" s="126">
        <v>0.01</v>
      </c>
      <c r="H93" s="112">
        <f>#N/A</f>
        <v>0.01</v>
      </c>
      <c r="I93" s="213"/>
      <c r="J93" s="117">
        <f>#N/A</f>
        <v>-42.99</v>
      </c>
      <c r="K93" s="147"/>
      <c r="L93" s="117"/>
      <c r="M93" s="117"/>
      <c r="N93" s="117"/>
      <c r="O93" s="117">
        <v>49.17</v>
      </c>
      <c r="P93" s="117">
        <f>#N/A</f>
        <v>-6.170000000000002</v>
      </c>
      <c r="Q93" s="147">
        <f>#N/A</f>
        <v>0.8745169818995322</v>
      </c>
      <c r="R93" s="117">
        <v>0</v>
      </c>
      <c r="S93" s="117">
        <f>#N/A</f>
        <v>0.01</v>
      </c>
      <c r="T93" s="147" t="e">
        <f>#N/A</f>
        <v>#DIV/0!</v>
      </c>
      <c r="U93" s="107">
        <f>#N/A</f>
        <v>0</v>
      </c>
      <c r="V93" s="110">
        <f>#N/A</f>
        <v>0.01</v>
      </c>
      <c r="W93" s="117">
        <f>#N/A</f>
        <v>0.01</v>
      </c>
      <c r="X93" s="147"/>
      <c r="Y93" s="199" t="e">
        <f>#N/A</f>
        <v>#DIV/0!</v>
      </c>
    </row>
    <row r="94" spans="2:25" ht="18" hidden="1">
      <c r="B94" s="166" t="s">
        <v>47</v>
      </c>
      <c r="C94" s="58">
        <v>24061600</v>
      </c>
      <c r="D94" s="256"/>
      <c r="E94" s="125"/>
      <c r="F94" s="125">
        <f>E94</f>
        <v>0</v>
      </c>
      <c r="G94" s="126">
        <v>0</v>
      </c>
      <c r="H94" s="112">
        <f>#N/A</f>
        <v>0</v>
      </c>
      <c r="I94" s="213"/>
      <c r="J94" s="117">
        <f>#N/A</f>
        <v>0</v>
      </c>
      <c r="K94" s="224"/>
      <c r="L94" s="134"/>
      <c r="M94" s="134"/>
      <c r="N94" s="134"/>
      <c r="O94" s="134"/>
      <c r="P94" s="117">
        <f>#N/A</f>
        <v>0</v>
      </c>
      <c r="Q94" s="147" t="e">
        <f>#N/A</f>
        <v>#DIV/0!</v>
      </c>
      <c r="R94" s="117">
        <f>O94</f>
        <v>0</v>
      </c>
      <c r="S94" s="117">
        <f>#N/A</f>
        <v>0</v>
      </c>
      <c r="T94" s="147" t="e">
        <f>#N/A</f>
        <v>#DIV/0!</v>
      </c>
      <c r="U94" s="107">
        <f>#N/A</f>
        <v>0</v>
      </c>
      <c r="V94" s="110">
        <f>#N/A</f>
        <v>0</v>
      </c>
      <c r="W94" s="117">
        <f>#N/A</f>
        <v>0</v>
      </c>
      <c r="X94" s="224"/>
      <c r="Y94" s="199" t="e">
        <f>#N/A</f>
        <v>#DIV/0!</v>
      </c>
    </row>
    <row r="95" spans="2:25" ht="18">
      <c r="B95" s="20" t="s">
        <v>41</v>
      </c>
      <c r="C95" s="58">
        <v>19010000</v>
      </c>
      <c r="D95" s="256">
        <v>9050</v>
      </c>
      <c r="E95" s="125">
        <v>9050</v>
      </c>
      <c r="F95" s="125">
        <v>462.75</v>
      </c>
      <c r="G95" s="126">
        <v>463.24</v>
      </c>
      <c r="H95" s="112">
        <f>#N/A</f>
        <v>0.4900000000000091</v>
      </c>
      <c r="I95" s="213">
        <f>G95/F95</f>
        <v>1.0010588870880606</v>
      </c>
      <c r="J95" s="117">
        <f>#N/A</f>
        <v>-8586.76</v>
      </c>
      <c r="K95" s="147">
        <f>G95/E95</f>
        <v>0.05118674033149171</v>
      </c>
      <c r="L95" s="117"/>
      <c r="M95" s="117"/>
      <c r="N95" s="117"/>
      <c r="O95" s="117">
        <v>8033.94</v>
      </c>
      <c r="P95" s="117">
        <f>#N/A</f>
        <v>1016.0600000000004</v>
      </c>
      <c r="Q95" s="147">
        <f>#N/A</f>
        <v>1.1264709470073215</v>
      </c>
      <c r="R95" s="117">
        <v>11.48</v>
      </c>
      <c r="S95" s="117">
        <f>#N/A</f>
        <v>451.76</v>
      </c>
      <c r="T95" s="147">
        <f>#N/A</f>
        <v>40.35191637630662</v>
      </c>
      <c r="U95" s="107">
        <f>#N/A</f>
        <v>462.75</v>
      </c>
      <c r="V95" s="110">
        <f>#N/A</f>
        <v>463.24</v>
      </c>
      <c r="W95" s="117">
        <f>#N/A</f>
        <v>0.4900000000000091</v>
      </c>
      <c r="X95" s="147">
        <f>V95/U95</f>
        <v>1.0010588870880606</v>
      </c>
      <c r="Y95" s="199">
        <f>#N/A</f>
        <v>39.2254454292993</v>
      </c>
    </row>
    <row r="96" spans="2:25" ht="31.5" hidden="1">
      <c r="B96" s="20" t="s">
        <v>45</v>
      </c>
      <c r="C96" s="58">
        <v>19050000</v>
      </c>
      <c r="D96" s="256"/>
      <c r="E96" s="125">
        <v>0</v>
      </c>
      <c r="F96" s="125">
        <v>0</v>
      </c>
      <c r="G96" s="126">
        <v>0</v>
      </c>
      <c r="H96" s="112">
        <f>#N/A</f>
        <v>0</v>
      </c>
      <c r="I96" s="213"/>
      <c r="J96" s="117">
        <f>#N/A</f>
        <v>0</v>
      </c>
      <c r="K96" s="147"/>
      <c r="L96" s="117"/>
      <c r="M96" s="117"/>
      <c r="N96" s="117"/>
      <c r="O96" s="117">
        <v>0.1</v>
      </c>
      <c r="P96" s="117">
        <f>#N/A</f>
        <v>-0.1</v>
      </c>
      <c r="Q96" s="147">
        <f>#N/A</f>
        <v>0</v>
      </c>
      <c r="R96" s="117">
        <v>0</v>
      </c>
      <c r="S96" s="117">
        <f>#N/A</f>
        <v>0</v>
      </c>
      <c r="T96" s="147" t="e">
        <f>#N/A</f>
        <v>#DIV/0!</v>
      </c>
      <c r="U96" s="107">
        <f>#N/A</f>
        <v>0</v>
      </c>
      <c r="V96" s="110">
        <f>#N/A</f>
        <v>0</v>
      </c>
      <c r="W96" s="117">
        <f>#N/A</f>
        <v>0</v>
      </c>
      <c r="X96" s="224"/>
      <c r="Y96" s="199" t="e">
        <f>#N/A</f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462.75</v>
      </c>
      <c r="G97" s="128">
        <f>G93+G96+G94+G95</f>
        <v>463.25</v>
      </c>
      <c r="H97" s="129">
        <f>#N/A</f>
        <v>0.5</v>
      </c>
      <c r="I97" s="216">
        <f>G97/F97</f>
        <v>1.001080497028633</v>
      </c>
      <c r="J97" s="131">
        <f>#N/A</f>
        <v>-8629.75</v>
      </c>
      <c r="K97" s="151">
        <f>G97/E97</f>
        <v>0.05094578247003189</v>
      </c>
      <c r="L97" s="131"/>
      <c r="M97" s="131"/>
      <c r="N97" s="131"/>
      <c r="O97" s="131">
        <v>8083.21</v>
      </c>
      <c r="P97" s="131">
        <f>#N/A</f>
        <v>1009.79</v>
      </c>
      <c r="Q97" s="151">
        <f>#N/A</f>
        <v>1.1249243802895137</v>
      </c>
      <c r="R97" s="131">
        <v>11.82</v>
      </c>
      <c r="S97" s="117">
        <f>#N/A</f>
        <v>451.43</v>
      </c>
      <c r="T97" s="147">
        <f>#N/A</f>
        <v>39.19204737732657</v>
      </c>
      <c r="U97" s="129">
        <f>U93+U96+U94+U95</f>
        <v>462.75</v>
      </c>
      <c r="V97" s="133">
        <f>V93+V96+V94+V95</f>
        <v>463.25</v>
      </c>
      <c r="W97" s="131">
        <f>#N/A</f>
        <v>0.5</v>
      </c>
      <c r="X97" s="151">
        <f>V97/U97</f>
        <v>1.001080497028633</v>
      </c>
      <c r="Y97" s="199">
        <f>#N/A</f>
        <v>38.06712299703705</v>
      </c>
    </row>
    <row r="98" spans="2:25" ht="30.75">
      <c r="B98" s="12" t="s">
        <v>36</v>
      </c>
      <c r="C98" s="34">
        <v>24110900</v>
      </c>
      <c r="D98" s="229">
        <v>19.413</v>
      </c>
      <c r="E98" s="125">
        <v>19.413</v>
      </c>
      <c r="F98" s="125">
        <v>1.69558</v>
      </c>
      <c r="G98" s="126">
        <v>1.7</v>
      </c>
      <c r="H98" s="112">
        <f>#N/A</f>
        <v>0.0044199999999998685</v>
      </c>
      <c r="I98" s="213">
        <f>G98/F98</f>
        <v>1.0026067776218166</v>
      </c>
      <c r="J98" s="117">
        <f>#N/A</f>
        <v>-17.713</v>
      </c>
      <c r="K98" s="147">
        <f>G98/E98</f>
        <v>0.08757018492762582</v>
      </c>
      <c r="L98" s="117"/>
      <c r="M98" s="117"/>
      <c r="N98" s="117"/>
      <c r="O98" s="117">
        <v>37.96</v>
      </c>
      <c r="P98" s="117">
        <f>#N/A</f>
        <v>-18.547</v>
      </c>
      <c r="Q98" s="147">
        <f>#N/A</f>
        <v>0.5114067439409905</v>
      </c>
      <c r="R98" s="131">
        <v>0.34</v>
      </c>
      <c r="S98" s="117">
        <f>#N/A</f>
        <v>1.3599999999999999</v>
      </c>
      <c r="T98" s="147">
        <f>#N/A</f>
        <v>4.999999999999999</v>
      </c>
      <c r="U98" s="107">
        <f>F98</f>
        <v>1.69558</v>
      </c>
      <c r="V98" s="110">
        <f>G98</f>
        <v>1.7</v>
      </c>
      <c r="W98" s="117">
        <f>#N/A</f>
        <v>0.0044199999999998685</v>
      </c>
      <c r="X98" s="147">
        <f>V98/U98</f>
        <v>1.0026067776218166</v>
      </c>
      <c r="Y98" s="199">
        <f>#N/A</f>
        <v>4.4885932560590085</v>
      </c>
    </row>
    <row r="99" spans="2:25" ht="18" hidden="1">
      <c r="B99" s="83"/>
      <c r="C99" s="34">
        <v>21110000</v>
      </c>
      <c r="D99" s="34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>#N/A</f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9">
        <f>#N/A</f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1443.8745800000002</v>
      </c>
      <c r="G100" s="183">
        <f>G86+G87+G92+G97+G98</f>
        <v>1444.3999999999999</v>
      </c>
      <c r="H100" s="184">
        <f>G100-F100</f>
        <v>0.5254199999997127</v>
      </c>
      <c r="I100" s="217">
        <f>G100/F100</f>
        <v>1.0003638958724514</v>
      </c>
      <c r="J100" s="177">
        <f>G100-E100</f>
        <v>-51141.013</v>
      </c>
      <c r="K100" s="178">
        <f>G100/E100</f>
        <v>0.02746769336964226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1327.37</v>
      </c>
      <c r="T100" s="178">
        <f>#N/A</f>
        <v>12.342134495428521</v>
      </c>
      <c r="U100" s="183">
        <f>U86+U87+U92+U97+U98</f>
        <v>1443.8745800000002</v>
      </c>
      <c r="V100" s="183">
        <f>V86+V87+V92+V97+V98</f>
        <v>1444.3999999999999</v>
      </c>
      <c r="W100" s="177">
        <f>V100-U100</f>
        <v>0.5254199999997127</v>
      </c>
      <c r="X100" s="178">
        <f>V100/U100</f>
        <v>1.0003638958724514</v>
      </c>
      <c r="Y100" s="199">
        <f>#N/A</f>
        <v>10.820643755804943</v>
      </c>
    </row>
    <row r="101" spans="2:25" ht="17.25">
      <c r="B101" s="185" t="s">
        <v>103</v>
      </c>
      <c r="C101" s="182"/>
      <c r="D101" s="183">
        <f>D79+D100</f>
        <v>1680503.113</v>
      </c>
      <c r="E101" s="183">
        <f>E79+E100</f>
        <v>1680503.113</v>
      </c>
      <c r="F101" s="183">
        <f>F79+F100</f>
        <v>116722.42358</v>
      </c>
      <c r="G101" s="183">
        <f>G79+G100</f>
        <v>116722.93999999999</v>
      </c>
      <c r="H101" s="184">
        <f>G101-F101</f>
        <v>0.5164199999853736</v>
      </c>
      <c r="I101" s="217">
        <f>G101/F101</f>
        <v>1.000004424342677</v>
      </c>
      <c r="J101" s="177">
        <f>G101-E101</f>
        <v>-1563780.173</v>
      </c>
      <c r="K101" s="178">
        <f>G101/E101</f>
        <v>0.06945714000590489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98203.20999999999</v>
      </c>
      <c r="S101" s="177">
        <f>S79+S100</f>
        <v>18519.73</v>
      </c>
      <c r="T101" s="178">
        <f>#N/A</f>
        <v>1.1885857906274142</v>
      </c>
      <c r="U101" s="184">
        <f>U79+U100</f>
        <v>116722.42358</v>
      </c>
      <c r="V101" s="184">
        <f>V79+V100</f>
        <v>116722.93999999999</v>
      </c>
      <c r="W101" s="177">
        <f>V101-U101</f>
        <v>0.5164199999853736</v>
      </c>
      <c r="X101" s="178">
        <f>V101/U101</f>
        <v>1.000004424342677</v>
      </c>
      <c r="Y101" s="199">
        <f>#N/A</f>
        <v>0.016325691363779926</v>
      </c>
    </row>
    <row r="102" spans="2:25" ht="15">
      <c r="B102" s="262" t="s">
        <v>159</v>
      </c>
      <c r="D102" s="4"/>
      <c r="F102" s="78"/>
      <c r="G102" s="4"/>
      <c r="Y102" s="199"/>
    </row>
    <row r="103" spans="2:25" ht="15">
      <c r="B103" s="4" t="s">
        <v>160</v>
      </c>
      <c r="C103" s="264">
        <v>0</v>
      </c>
      <c r="D103" s="4" t="s">
        <v>161</v>
      </c>
      <c r="F103" s="78"/>
      <c r="G103" s="4"/>
      <c r="Y103" s="199"/>
    </row>
    <row r="104" spans="2:25" ht="30.75">
      <c r="B104" s="266" t="s">
        <v>162</v>
      </c>
      <c r="C104" s="267" t="e">
        <f>IF(W79&lt;0,ABS(W79/C103),0)</f>
        <v>#DIV/0!</v>
      </c>
      <c r="D104" s="4" t="s">
        <v>24</v>
      </c>
      <c r="F104" s="78"/>
      <c r="G104" s="267" t="e">
        <f>IF(H79&lt;0,ABS(H79/C103),0)</f>
        <v>#DIV/0!</v>
      </c>
      <c r="H104" s="268"/>
      <c r="I104" s="268"/>
      <c r="J104" s="268"/>
      <c r="V104" s="267" t="e">
        <f>IF(W79&lt;0,ABS(W79/C103),0)</f>
        <v>#DIV/0!</v>
      </c>
      <c r="Y104" s="199"/>
    </row>
    <row r="105" spans="2:25" ht="30.75">
      <c r="B105" s="270" t="s">
        <v>163</v>
      </c>
      <c r="C105" s="271">
        <v>43129</v>
      </c>
      <c r="D105" s="267"/>
      <c r="E105" s="267">
        <v>2330.8</v>
      </c>
      <c r="F105" s="78"/>
      <c r="G105" s="4" t="s">
        <v>164</v>
      </c>
      <c r="Y105" s="199"/>
    </row>
    <row r="106" spans="3:25" ht="15">
      <c r="C106" s="271">
        <v>43130</v>
      </c>
      <c r="D106" s="267"/>
      <c r="E106" s="267">
        <v>15629.9</v>
      </c>
      <c r="F106" s="78"/>
      <c r="G106" s="500"/>
      <c r="H106" s="500"/>
      <c r="I106" s="273"/>
      <c r="J106" s="274"/>
      <c r="Y106" s="199"/>
    </row>
    <row r="107" spans="3:25" ht="15">
      <c r="C107" s="271">
        <v>43131</v>
      </c>
      <c r="D107" s="267"/>
      <c r="E107" s="267">
        <v>15417.7</v>
      </c>
      <c r="F107" s="78" t="s">
        <v>164</v>
      </c>
      <c r="G107" s="500"/>
      <c r="H107" s="500"/>
      <c r="I107" s="273"/>
      <c r="J107" s="276"/>
      <c r="Y107" s="199"/>
    </row>
    <row r="108" spans="3:25" ht="15">
      <c r="C108" s="271"/>
      <c r="D108" s="4"/>
      <c r="F108" s="278"/>
      <c r="G108" s="501"/>
      <c r="H108" s="501"/>
      <c r="I108" s="279"/>
      <c r="J108" s="274"/>
      <c r="Y108" s="199"/>
    </row>
    <row r="109" spans="2:25" ht="16.5">
      <c r="B109" s="502" t="s">
        <v>165</v>
      </c>
      <c r="C109" s="502"/>
      <c r="D109" s="280"/>
      <c r="E109" s="280">
        <f>3396166.95/1000</f>
        <v>3396.1669500000003</v>
      </c>
      <c r="F109" s="282" t="s">
        <v>166</v>
      </c>
      <c r="G109" s="500"/>
      <c r="H109" s="500"/>
      <c r="I109" s="283"/>
      <c r="J109" s="274"/>
      <c r="Y109" s="199"/>
    </row>
    <row r="110" spans="4:25" ht="15">
      <c r="D110" s="4"/>
      <c r="F110" s="278"/>
      <c r="G110" s="500"/>
      <c r="H110" s="500"/>
      <c r="I110" s="278"/>
      <c r="J110" s="281"/>
      <c r="Y110" s="199"/>
    </row>
    <row r="111" spans="2:25" ht="15" hidden="1">
      <c r="B111" s="287" t="s">
        <v>168</v>
      </c>
      <c r="D111" s="278">
        <f>D60+D63+D64</f>
        <v>2095</v>
      </c>
      <c r="E111" s="278">
        <f>E60+E63+E64</f>
        <v>2095</v>
      </c>
      <c r="F111" s="278">
        <f>F60+F63+F64</f>
        <v>147.19</v>
      </c>
      <c r="G111" s="435">
        <f>G60+G63+G64</f>
        <v>149.62</v>
      </c>
      <c r="H111" s="278">
        <f>H60+H63+H64</f>
        <v>2.4299999999999975</v>
      </c>
      <c r="I111" s="284">
        <f>G111/F111</f>
        <v>1.0165092737278347</v>
      </c>
      <c r="J111" s="267">
        <f>J60+J63+J64</f>
        <v>-1945.38</v>
      </c>
      <c r="K111" s="163">
        <f>G111/E111</f>
        <v>0.07141766109785203</v>
      </c>
      <c r="L111" s="267">
        <f>L60+L63+L64</f>
        <v>0</v>
      </c>
      <c r="M111" s="267">
        <f>M60+M63+M64</f>
        <v>0</v>
      </c>
      <c r="O111" s="265">
        <f>O60+O63+O64</f>
        <v>1956.6200000000001</v>
      </c>
      <c r="P111" s="265">
        <f>P60+P63+P64</f>
        <v>138.37999999999994</v>
      </c>
      <c r="Q111" s="163">
        <f>E111/O111</f>
        <v>1.0707240036389283</v>
      </c>
      <c r="R111" s="265">
        <f>R60+R63+R64</f>
        <v>133.98000000000002</v>
      </c>
      <c r="S111" s="265">
        <f>S60+S63+S64</f>
        <v>15.639999999999992</v>
      </c>
      <c r="T111" s="163">
        <f>G111/R111</f>
        <v>1.1167338408717717</v>
      </c>
      <c r="U111" s="265">
        <f>U60+U63+U64</f>
        <v>147.19</v>
      </c>
      <c r="V111" s="437">
        <f>V60+V63+V64</f>
        <v>149.62</v>
      </c>
      <c r="W111" s="267">
        <f>W60+W63+W64</f>
        <v>2.4299999999999975</v>
      </c>
      <c r="X111" s="163">
        <f>V111/U111</f>
        <v>1.0165092737278347</v>
      </c>
      <c r="Y111" s="199"/>
    </row>
    <row r="112" spans="4:25" ht="15" hidden="1">
      <c r="D112" s="265"/>
      <c r="F112" s="78"/>
      <c r="G112" s="4"/>
      <c r="I112" s="267"/>
      <c r="Y112" s="199"/>
    </row>
    <row r="113" spans="2:25" ht="15" hidden="1">
      <c r="B113" s="4" t="s">
        <v>204</v>
      </c>
      <c r="D113" s="267">
        <f>D9+D15+D18+D19+D23+D54+D57+D59+D71+D77+D93+D95</f>
        <v>1592543.3</v>
      </c>
      <c r="E113" s="267">
        <f>E9+E15+E18+E19+E23+E54+E57+E59+E71+E77+E93+E95</f>
        <v>1592543.3</v>
      </c>
      <c r="F113" s="267">
        <f>F9+F15+F18+F19+F23+F54+F57+F59+F71+F77+F93+F95</f>
        <v>112496.649</v>
      </c>
      <c r="G113" s="267">
        <f>G9+G15+G18+G19+G23+G54+G57+G59+G71+G77+G93+G95</f>
        <v>112490.61</v>
      </c>
      <c r="H113" s="267">
        <f>H9+H15+H18+H19+H23+H54+H57+H59+H71+H77+H93+H95</f>
        <v>-6.038999999998186</v>
      </c>
      <c r="I113" s="163">
        <f>G113/F113</f>
        <v>0.9999463184010041</v>
      </c>
      <c r="J113" s="163"/>
      <c r="Y113" s="199"/>
    </row>
    <row r="114" spans="2:25" ht="15" hidden="1">
      <c r="B114" s="4" t="s">
        <v>205</v>
      </c>
      <c r="D114" s="267">
        <f>D55+D58+D60+D63+D64+D65+D72+D76+D88+D89+D90+D91+D98</f>
        <v>65675.813</v>
      </c>
      <c r="E114" s="267">
        <f>E55+E58+E60+E63+E64+E65+E72+E76+E88+E89+E90+E91+E98</f>
        <v>65675.813</v>
      </c>
      <c r="F114" s="267">
        <f>F55+F58+F60+F63+F64+F65+F72+F76+F88+F89+F90+F91+F98</f>
        <v>2289.53458</v>
      </c>
      <c r="G114" s="267">
        <f>G55+G58+G60+G63+G64+G65+G72+G76+G88+G89+G90+G91+G98</f>
        <v>2291.9799999999996</v>
      </c>
      <c r="H114" s="267">
        <f>H55+H58+H60+H63+H64+H65+H72+H76+H88+H89+H90+H91+H98</f>
        <v>2.445419999999965</v>
      </c>
      <c r="I114" s="163">
        <f>G114/F114</f>
        <v>1.0010680860736332</v>
      </c>
      <c r="J114" s="163"/>
      <c r="Y114" s="199"/>
    </row>
    <row r="115" spans="2:25" ht="15" hidden="1">
      <c r="B115" s="4" t="s">
        <v>206</v>
      </c>
      <c r="D115" s="267">
        <f>D56+D62+D66+D78</f>
        <v>22284</v>
      </c>
      <c r="E115" s="267">
        <f>E56+E62+E66+E78</f>
        <v>22284</v>
      </c>
      <c r="F115" s="267">
        <f>F56+F62+F66+F78</f>
        <v>1936.24</v>
      </c>
      <c r="G115" s="267">
        <f>G56+G62+G66+G78</f>
        <v>1940.34</v>
      </c>
      <c r="H115" s="267">
        <f>H56+H62+H66+H78</f>
        <v>4.099999999999909</v>
      </c>
      <c r="I115" s="163">
        <f>G115/F115</f>
        <v>1.0021175060942857</v>
      </c>
      <c r="J115" s="163"/>
      <c r="Y115" s="199"/>
    </row>
    <row r="116" spans="2:25" ht="15" hidden="1">
      <c r="B116" s="365" t="s">
        <v>207</v>
      </c>
      <c r="D116" s="439">
        <f>D113+D114+D115</f>
        <v>1680503.1130000001</v>
      </c>
      <c r="E116" s="439">
        <f>E113+E114+E115</f>
        <v>1680503.1130000001</v>
      </c>
      <c r="F116" s="439">
        <f>F113+F114+F115</f>
        <v>116722.42358000002</v>
      </c>
      <c r="G116" s="439">
        <f>G113+G114+G115</f>
        <v>116722.93</v>
      </c>
      <c r="H116" s="439">
        <f>H113+H114+H115</f>
        <v>0.5064200000016879</v>
      </c>
      <c r="I116" s="441">
        <f>G116/F116</f>
        <v>1.0000043386693358</v>
      </c>
      <c r="J116" s="163"/>
      <c r="Y116" s="199"/>
    </row>
    <row r="117" spans="4:25" ht="15" hidden="1">
      <c r="D117" s="267">
        <f>D116-D101</f>
        <v>0</v>
      </c>
      <c r="E117" s="267">
        <f>E116-E101</f>
        <v>0</v>
      </c>
      <c r="F117" s="78">
        <f>F116-F101</f>
        <v>0</v>
      </c>
      <c r="G117" s="267">
        <f>G116-G101</f>
        <v>-0.00999999999476131</v>
      </c>
      <c r="H117" s="267">
        <f>H116-H101</f>
        <v>-0.009999999983685726</v>
      </c>
      <c r="Y117" s="199"/>
    </row>
    <row r="118" spans="2:25" ht="15" hidden="1">
      <c r="B118" s="272"/>
      <c r="D118" s="4"/>
      <c r="E118" s="267"/>
      <c r="F118" s="78"/>
      <c r="G118" s="4"/>
      <c r="Y118" s="199"/>
    </row>
    <row r="119" spans="2:25" ht="15" hidden="1">
      <c r="B119" s="272"/>
      <c r="D119" s="4"/>
      <c r="E119" s="267"/>
      <c r="F119" s="78"/>
      <c r="G119" s="4"/>
      <c r="Y119" s="199"/>
    </row>
    <row r="120" spans="4:25" ht="15" hidden="1">
      <c r="D120" s="4"/>
      <c r="F120" s="78"/>
      <c r="G120" s="4"/>
      <c r="Y120" s="199"/>
    </row>
    <row r="121" spans="2:25" ht="18" hidden="1">
      <c r="B121" s="83" t="s">
        <v>174</v>
      </c>
      <c r="C121" s="34">
        <v>25000000</v>
      </c>
      <c r="D121" s="125">
        <v>90449.655</v>
      </c>
      <c r="E121" s="125">
        <v>90449.655</v>
      </c>
      <c r="F121" s="125">
        <f>E121/12</f>
        <v>7537.47125</v>
      </c>
      <c r="G121" s="399">
        <v>6405.1</v>
      </c>
      <c r="H121" s="114">
        <f>G121-F121</f>
        <v>-1132.3712499999992</v>
      </c>
      <c r="I121" s="147">
        <f>#N/A</f>
        <v>0.8497677520163013</v>
      </c>
      <c r="J121" s="117">
        <f>G121-E121</f>
        <v>-84044.555</v>
      </c>
      <c r="K121" s="147">
        <f>G121/E121</f>
        <v>0.07081397933469177</v>
      </c>
      <c r="L121" s="293"/>
      <c r="M121" s="293"/>
      <c r="N121" s="293"/>
      <c r="O121" s="293"/>
      <c r="P121" s="293"/>
      <c r="Q121" s="293"/>
      <c r="R121" s="293"/>
      <c r="S121" s="293"/>
      <c r="T121" s="293"/>
      <c r="U121" s="293"/>
      <c r="V121" s="293"/>
      <c r="W121" s="293"/>
      <c r="X121" s="293"/>
      <c r="Y121" s="199"/>
    </row>
    <row r="122" spans="2:25" ht="17.25" hidden="1">
      <c r="B122" s="454" t="s">
        <v>30</v>
      </c>
      <c r="C122" s="455"/>
      <c r="D122" s="183">
        <f>D121+D100</f>
        <v>143035.068</v>
      </c>
      <c r="E122" s="183">
        <f>E121+E100</f>
        <v>143035.068</v>
      </c>
      <c r="F122" s="183">
        <f>F121+F100</f>
        <v>8981.34583</v>
      </c>
      <c r="G122" s="183">
        <f>G121+G100</f>
        <v>7849.5</v>
      </c>
      <c r="H122" s="183">
        <f>H121+H100</f>
        <v>-1131.8458299999995</v>
      </c>
      <c r="I122" s="178">
        <f>#N/A</f>
        <v>0.8739781485510396</v>
      </c>
      <c r="J122" s="177">
        <f>#N/A</f>
        <v>-135185.568</v>
      </c>
      <c r="K122" s="178">
        <f>#N/A</f>
        <v>0.054878150580527564</v>
      </c>
      <c r="L122" s="281"/>
      <c r="M122" s="281"/>
      <c r="N122" s="281"/>
      <c r="O122" s="281"/>
      <c r="P122" s="281"/>
      <c r="Q122" s="284"/>
      <c r="R122" s="281"/>
      <c r="S122" s="281"/>
      <c r="T122" s="281"/>
      <c r="U122" s="281"/>
      <c r="V122" s="281"/>
      <c r="W122" s="281"/>
      <c r="X122" s="281"/>
      <c r="Y122" s="199"/>
    </row>
    <row r="123" spans="2:25" ht="17.25" hidden="1">
      <c r="B123" s="456" t="s">
        <v>175</v>
      </c>
      <c r="C123" s="455"/>
      <c r="D123" s="183">
        <f>D101+D121</f>
        <v>1770952.768</v>
      </c>
      <c r="E123" s="183">
        <f>E101+E121</f>
        <v>1770952.768</v>
      </c>
      <c r="F123" s="183">
        <f>F101+F121</f>
        <v>124259.89483</v>
      </c>
      <c r="G123" s="183">
        <f>G101+G121</f>
        <v>123128.04</v>
      </c>
      <c r="H123" s="183">
        <f>H101+H121</f>
        <v>-1131.8548300000139</v>
      </c>
      <c r="I123" s="178">
        <f>#N/A</f>
        <v>0.990891229776522</v>
      </c>
      <c r="J123" s="177">
        <f>#N/A</f>
        <v>-1647824.728</v>
      </c>
      <c r="K123" s="178">
        <f>#N/A</f>
        <v>0.06952643922799413</v>
      </c>
      <c r="L123" s="281"/>
      <c r="M123" s="281"/>
      <c r="N123" s="281"/>
      <c r="O123" s="281"/>
      <c r="P123" s="281"/>
      <c r="Q123" s="284"/>
      <c r="R123" s="281"/>
      <c r="S123" s="281"/>
      <c r="T123" s="281"/>
      <c r="U123" s="281"/>
      <c r="V123" s="281"/>
      <c r="W123" s="281"/>
      <c r="X123" s="281"/>
      <c r="Y123" s="199"/>
    </row>
    <row r="124" spans="2:25" ht="18" hidden="1">
      <c r="B124" s="304" t="s">
        <v>176</v>
      </c>
      <c r="C124" s="305">
        <v>40000000</v>
      </c>
      <c r="D124" s="306">
        <v>1499675.2</v>
      </c>
      <c r="E124" s="306">
        <v>1499675.2</v>
      </c>
      <c r="F124" s="306">
        <v>164550.67</v>
      </c>
      <c r="G124" s="399">
        <v>157946.6</v>
      </c>
      <c r="H124" s="306">
        <f>G124-F124</f>
        <v>-6604.070000000007</v>
      </c>
      <c r="I124" s="147">
        <f>#N/A</f>
        <v>0.9598660400471174</v>
      </c>
      <c r="J124" s="117">
        <f>#N/A</f>
        <v>-1341728.5999999999</v>
      </c>
      <c r="K124" s="147">
        <f>#N/A</f>
        <v>0.10532053874065532</v>
      </c>
      <c r="L124" s="281"/>
      <c r="M124" s="281"/>
      <c r="N124" s="281"/>
      <c r="O124" s="281"/>
      <c r="P124" s="281"/>
      <c r="Q124" s="284"/>
      <c r="R124" s="281"/>
      <c r="S124" s="281"/>
      <c r="T124" s="281"/>
      <c r="U124" s="281"/>
      <c r="V124" s="281"/>
      <c r="W124" s="281"/>
      <c r="X124" s="281"/>
      <c r="Y124" s="199"/>
    </row>
    <row r="125" spans="2:25" ht="27" hidden="1">
      <c r="B125" s="450" t="s">
        <v>211</v>
      </c>
      <c r="C125" s="451">
        <v>41033900</v>
      </c>
      <c r="D125" s="452">
        <v>249086.1</v>
      </c>
      <c r="E125" s="452">
        <v>249086.1</v>
      </c>
      <c r="F125" s="452">
        <v>19179.6</v>
      </c>
      <c r="G125" s="457">
        <v>19179.6</v>
      </c>
      <c r="H125" s="452">
        <f>G125-F125</f>
        <v>0</v>
      </c>
      <c r="I125" s="152">
        <f>#N/A</f>
        <v>1</v>
      </c>
      <c r="J125" s="116">
        <f>#N/A</f>
        <v>-229906.5</v>
      </c>
      <c r="K125" s="152">
        <f>#N/A</f>
        <v>0.07699988076412131</v>
      </c>
      <c r="L125" s="281"/>
      <c r="M125" s="281"/>
      <c r="N125" s="281"/>
      <c r="O125" s="281"/>
      <c r="P125" s="281"/>
      <c r="Q125" s="284"/>
      <c r="R125" s="281"/>
      <c r="S125" s="281"/>
      <c r="T125" s="281"/>
      <c r="U125" s="281"/>
      <c r="V125" s="281"/>
      <c r="W125" s="281"/>
      <c r="X125" s="281"/>
      <c r="Y125" s="199"/>
    </row>
    <row r="126" spans="2:25" ht="27" hidden="1">
      <c r="B126" s="450" t="s">
        <v>212</v>
      </c>
      <c r="C126" s="451">
        <v>41034200</v>
      </c>
      <c r="D126" s="452">
        <v>226186</v>
      </c>
      <c r="E126" s="452">
        <v>226186</v>
      </c>
      <c r="F126" s="452">
        <v>22003</v>
      </c>
      <c r="G126" s="457">
        <v>22003</v>
      </c>
      <c r="H126" s="452">
        <f>G126-F126</f>
        <v>0</v>
      </c>
      <c r="I126" s="152">
        <f>#N/A</f>
        <v>1</v>
      </c>
      <c r="J126" s="116">
        <f>#N/A</f>
        <v>-204183</v>
      </c>
      <c r="K126" s="152">
        <f>#N/A</f>
        <v>0.09727834613990256</v>
      </c>
      <c r="L126" s="281"/>
      <c r="M126" s="281"/>
      <c r="N126" s="281"/>
      <c r="O126" s="281"/>
      <c r="P126" s="281"/>
      <c r="Q126" s="284"/>
      <c r="R126" s="281"/>
      <c r="S126" s="281"/>
      <c r="T126" s="281"/>
      <c r="U126" s="281"/>
      <c r="V126" s="281"/>
      <c r="W126" s="281"/>
      <c r="X126" s="281"/>
      <c r="Y126" s="199"/>
    </row>
    <row r="127" spans="2:25" ht="18" hidden="1">
      <c r="B127" s="304" t="s">
        <v>208</v>
      </c>
      <c r="C127" s="305"/>
      <c r="D127" s="306">
        <v>0</v>
      </c>
      <c r="E127" s="306">
        <v>0</v>
      </c>
      <c r="F127" s="306">
        <v>0</v>
      </c>
      <c r="G127" s="399">
        <v>0</v>
      </c>
      <c r="H127" s="306">
        <f>G127-F127</f>
        <v>0</v>
      </c>
      <c r="I127" s="147" t="e">
        <f>#N/A</f>
        <v>#DIV/0!</v>
      </c>
      <c r="J127" s="117">
        <f>G127-E127</f>
        <v>0</v>
      </c>
      <c r="K127" s="147" t="e">
        <f>G127/E127</f>
        <v>#DIV/0!</v>
      </c>
      <c r="L127" s="281"/>
      <c r="M127" s="281"/>
      <c r="N127" s="281"/>
      <c r="O127" s="281"/>
      <c r="P127" s="281"/>
      <c r="Q127" s="284"/>
      <c r="R127" s="281"/>
      <c r="S127" s="281"/>
      <c r="T127" s="281"/>
      <c r="U127" s="281"/>
      <c r="V127" s="281"/>
      <c r="W127" s="281"/>
      <c r="X127" s="281"/>
      <c r="Y127" s="199"/>
    </row>
    <row r="128" spans="2:25" ht="18" hidden="1">
      <c r="B128" s="312" t="s">
        <v>179</v>
      </c>
      <c r="C128" s="313"/>
      <c r="D128" s="314">
        <f>D123+D124+D127</f>
        <v>3270627.968</v>
      </c>
      <c r="E128" s="314">
        <f>E123+E124+E127</f>
        <v>3270627.968</v>
      </c>
      <c r="F128" s="314">
        <f>F123+F124+F127</f>
        <v>288810.56483000005</v>
      </c>
      <c r="G128" s="314">
        <f>G123+G124+G127</f>
        <v>281074.64</v>
      </c>
      <c r="H128" s="314">
        <f>G128-F128</f>
        <v>-7735.924830000033</v>
      </c>
      <c r="I128" s="178">
        <f>#N/A</f>
        <v>0.9732145365438638</v>
      </c>
      <c r="J128" s="177">
        <f>#N/A</f>
        <v>-2989553.3279999997</v>
      </c>
      <c r="K128" s="178">
        <f>#N/A</f>
        <v>0.0859390437402387</v>
      </c>
      <c r="L128" s="281"/>
      <c r="M128" s="281"/>
      <c r="N128" s="281"/>
      <c r="O128" s="281"/>
      <c r="P128" s="281"/>
      <c r="Q128" s="284"/>
      <c r="R128" s="281"/>
      <c r="S128" s="281"/>
      <c r="T128" s="281"/>
      <c r="U128" s="281"/>
      <c r="V128" s="281"/>
      <c r="W128" s="281"/>
      <c r="X128" s="281"/>
      <c r="Y128" s="199"/>
    </row>
    <row r="129" spans="4:25" ht="15" hidden="1">
      <c r="D129" s="4"/>
      <c r="F129" s="78"/>
      <c r="G129" s="4"/>
      <c r="Y129" s="199"/>
    </row>
    <row r="130" spans="4:25" ht="15" hidden="1">
      <c r="D130" s="4"/>
      <c r="F130" s="78"/>
      <c r="G130" s="4"/>
      <c r="Y130" s="199"/>
    </row>
    <row r="131" spans="4:25" ht="15" hidden="1">
      <c r="D131" s="4"/>
      <c r="F131" s="78"/>
      <c r="G131" s="267"/>
      <c r="Y131" s="199"/>
    </row>
    <row r="132" spans="4:25" ht="15" hidden="1">
      <c r="D132" s="4"/>
      <c r="F132" s="78"/>
      <c r="G132" s="4"/>
      <c r="Y132" s="199"/>
    </row>
    <row r="133" spans="4:25" ht="15" hidden="1">
      <c r="D133" s="4"/>
      <c r="F133" s="78"/>
      <c r="G133" s="4"/>
      <c r="Y133" s="199"/>
    </row>
    <row r="134" spans="4:25" ht="15" hidden="1">
      <c r="D134" s="4"/>
      <c r="F134" s="78"/>
      <c r="G134" s="4"/>
      <c r="Y134" s="199"/>
    </row>
    <row r="135" spans="2:25" ht="15" hidden="1">
      <c r="B135" s="320" t="s">
        <v>180</v>
      </c>
      <c r="D135" s="4"/>
      <c r="F135" s="78"/>
      <c r="G135" s="4"/>
      <c r="Y135" s="199"/>
    </row>
    <row r="136" spans="2:25" ht="30.75" hidden="1">
      <c r="B136" s="321" t="s">
        <v>181</v>
      </c>
      <c r="C136" s="322">
        <v>13010200</v>
      </c>
      <c r="D136" s="323">
        <f>D17</f>
        <v>0</v>
      </c>
      <c r="E136" s="323">
        <f>#N/A</f>
        <v>0</v>
      </c>
      <c r="F136" s="323">
        <f>#N/A</f>
        <v>0</v>
      </c>
      <c r="G136" s="324">
        <f>#N/A</f>
        <v>0</v>
      </c>
      <c r="H136" s="323">
        <f>#N/A</f>
        <v>0</v>
      </c>
      <c r="I136" s="357">
        <f>#N/A</f>
        <v>0</v>
      </c>
      <c r="J136" s="323">
        <f>#N/A</f>
        <v>0</v>
      </c>
      <c r="K136" s="357">
        <f>#N/A</f>
        <v>0</v>
      </c>
      <c r="L136" s="323">
        <f>#N/A</f>
        <v>0</v>
      </c>
      <c r="M136" s="323">
        <f>#N/A</f>
        <v>0</v>
      </c>
      <c r="N136" s="323">
        <f>#N/A</f>
        <v>0</v>
      </c>
      <c r="O136" s="323">
        <f>#N/A</f>
        <v>0.49</v>
      </c>
      <c r="P136" s="323">
        <f>#N/A</f>
        <v>-0.49</v>
      </c>
      <c r="Q136" s="357">
        <f>#N/A</f>
        <v>0</v>
      </c>
      <c r="R136" s="323">
        <f>#N/A</f>
        <v>0</v>
      </c>
      <c r="S136" s="323">
        <f>#N/A</f>
        <v>0</v>
      </c>
      <c r="T136" s="357" t="e">
        <f>#N/A</f>
        <v>#DIV/0!</v>
      </c>
      <c r="U136" s="323">
        <f>#N/A</f>
        <v>0</v>
      </c>
      <c r="V136" s="323">
        <f>#N/A</f>
        <v>0</v>
      </c>
      <c r="W136" s="323">
        <f>#N/A</f>
        <v>0</v>
      </c>
      <c r="X136" s="357">
        <f>#N/A</f>
        <v>0</v>
      </c>
      <c r="Y136" s="199" t="e">
        <f>#N/A</f>
        <v>#DIV/0!</v>
      </c>
    </row>
    <row r="137" spans="2:25" ht="30.75" hidden="1">
      <c r="B137" s="329" t="s">
        <v>182</v>
      </c>
      <c r="C137" s="322">
        <v>13030200</v>
      </c>
      <c r="D137" s="323">
        <f>D18</f>
        <v>235.6</v>
      </c>
      <c r="E137" s="323">
        <f>#N/A</f>
        <v>235.6</v>
      </c>
      <c r="F137" s="323">
        <f>#N/A</f>
        <v>0</v>
      </c>
      <c r="G137" s="324">
        <f>#N/A</f>
        <v>0</v>
      </c>
      <c r="H137" s="323">
        <f>#N/A</f>
        <v>0</v>
      </c>
      <c r="I137" s="357" t="e">
        <f>#N/A</f>
        <v>#DIV/0!</v>
      </c>
      <c r="J137" s="323">
        <f>#N/A</f>
        <v>-235.6</v>
      </c>
      <c r="K137" s="357">
        <f>#N/A</f>
        <v>0</v>
      </c>
      <c r="L137" s="323">
        <f>#N/A</f>
        <v>0</v>
      </c>
      <c r="M137" s="323">
        <f>#N/A</f>
        <v>0</v>
      </c>
      <c r="N137" s="323">
        <f>#N/A</f>
        <v>0</v>
      </c>
      <c r="O137" s="323">
        <f>#N/A</f>
        <v>220.59</v>
      </c>
      <c r="P137" s="323">
        <f>#N/A</f>
        <v>15.009999999999991</v>
      </c>
      <c r="Q137" s="357">
        <f>#N/A</f>
        <v>1.0680447889750215</v>
      </c>
      <c r="R137" s="323">
        <f>#N/A</f>
        <v>0</v>
      </c>
      <c r="S137" s="323">
        <f>#N/A</f>
        <v>0</v>
      </c>
      <c r="T137" s="357" t="e">
        <f>#N/A</f>
        <v>#DIV/0!</v>
      </c>
      <c r="U137" s="323">
        <f>#N/A</f>
        <v>0</v>
      </c>
      <c r="V137" s="323">
        <f>#N/A</f>
        <v>0</v>
      </c>
      <c r="W137" s="323">
        <f>#N/A</f>
        <v>0</v>
      </c>
      <c r="X137" s="357" t="e">
        <f>#N/A</f>
        <v>#DIV/0!</v>
      </c>
      <c r="Y137" s="199" t="e">
        <f>#N/A</f>
        <v>#DIV/0!</v>
      </c>
    </row>
    <row r="138" spans="2:25" ht="15" hidden="1">
      <c r="B138" s="331" t="s">
        <v>51</v>
      </c>
      <c r="C138" s="332">
        <v>21080500</v>
      </c>
      <c r="D138" s="333">
        <f>D56</f>
        <v>158</v>
      </c>
      <c r="E138" s="333">
        <f>#N/A</f>
        <v>158</v>
      </c>
      <c r="F138" s="333">
        <f>#N/A</f>
        <v>0</v>
      </c>
      <c r="G138" s="334">
        <f>#N/A</f>
        <v>0</v>
      </c>
      <c r="H138" s="333">
        <f>#N/A</f>
        <v>0</v>
      </c>
      <c r="I138" s="442" t="e">
        <f>#N/A</f>
        <v>#DIV/0!</v>
      </c>
      <c r="J138" s="333">
        <f>#N/A</f>
        <v>-158</v>
      </c>
      <c r="K138" s="442">
        <f>#N/A</f>
        <v>0</v>
      </c>
      <c r="L138" s="333">
        <f>#N/A</f>
        <v>0</v>
      </c>
      <c r="M138" s="333">
        <f>#N/A</f>
        <v>0</v>
      </c>
      <c r="N138" s="333">
        <f>#N/A</f>
        <v>0</v>
      </c>
      <c r="O138" s="333">
        <f>#N/A</f>
        <v>153.3</v>
      </c>
      <c r="P138" s="333">
        <f>#N/A</f>
        <v>4.699999999999989</v>
      </c>
      <c r="Q138" s="442">
        <f>#N/A</f>
        <v>1.030658838878017</v>
      </c>
      <c r="R138" s="333">
        <f>#N/A</f>
        <v>14.87</v>
      </c>
      <c r="S138" s="333">
        <f>#N/A</f>
        <v>-14.87</v>
      </c>
      <c r="T138" s="442">
        <f>#N/A</f>
        <v>0</v>
      </c>
      <c r="U138" s="333">
        <f>#N/A</f>
        <v>0</v>
      </c>
      <c r="V138" s="333">
        <f>#N/A</f>
        <v>0</v>
      </c>
      <c r="W138" s="333">
        <f>#N/A</f>
        <v>0</v>
      </c>
      <c r="X138" s="357" t="e">
        <f>#N/A</f>
        <v>#DIV/0!</v>
      </c>
      <c r="Y138" s="199">
        <f>#N/A</f>
        <v>-1.030658838878017</v>
      </c>
    </row>
    <row r="139" spans="2:25" ht="30.75" hidden="1">
      <c r="B139" s="336" t="s">
        <v>34</v>
      </c>
      <c r="C139" s="337">
        <v>21080900</v>
      </c>
      <c r="D139" s="338">
        <f>D57</f>
        <v>13</v>
      </c>
      <c r="E139" s="338">
        <f>#N/A</f>
        <v>13</v>
      </c>
      <c r="F139" s="338">
        <f>#N/A</f>
        <v>2</v>
      </c>
      <c r="G139" s="339">
        <f>#N/A</f>
        <v>2.02</v>
      </c>
      <c r="H139" s="338">
        <f>#N/A</f>
        <v>0.020000000000000018</v>
      </c>
      <c r="I139" s="443">
        <f>#N/A</f>
        <v>1.01</v>
      </c>
      <c r="J139" s="338">
        <f>#N/A</f>
        <v>-10.98</v>
      </c>
      <c r="K139" s="443">
        <f>#N/A</f>
        <v>0.1553846153846154</v>
      </c>
      <c r="L139" s="338">
        <f>#N/A</f>
        <v>0</v>
      </c>
      <c r="M139" s="338">
        <f>#N/A</f>
        <v>0</v>
      </c>
      <c r="N139" s="338">
        <f>#N/A</f>
        <v>0</v>
      </c>
      <c r="O139" s="338">
        <f>#N/A</f>
        <v>12.95</v>
      </c>
      <c r="P139" s="338">
        <f>#N/A</f>
        <v>0.05000000000000071</v>
      </c>
      <c r="Q139" s="443">
        <f>#N/A</f>
        <v>1.0038610038610039</v>
      </c>
      <c r="R139" s="338">
        <f>#N/A</f>
        <v>0</v>
      </c>
      <c r="S139" s="338">
        <f>#N/A</f>
        <v>2.02</v>
      </c>
      <c r="T139" s="443">
        <f>#N/A</f>
        <v>0</v>
      </c>
      <c r="U139" s="338">
        <f>#N/A</f>
        <v>2</v>
      </c>
      <c r="V139" s="338">
        <f>#N/A</f>
        <v>2.02</v>
      </c>
      <c r="W139" s="338">
        <f>#N/A</f>
        <v>0.020000000000000018</v>
      </c>
      <c r="X139" s="445">
        <f>#N/A</f>
        <v>1.01</v>
      </c>
      <c r="Y139" s="199">
        <f>#N/A</f>
        <v>-1.0038610038610039</v>
      </c>
    </row>
    <row r="140" spans="2:25" ht="15" hidden="1">
      <c r="B140" s="329" t="s">
        <v>16</v>
      </c>
      <c r="C140" s="322">
        <v>21081100</v>
      </c>
      <c r="D140" s="323">
        <f>D58</f>
        <v>744</v>
      </c>
      <c r="E140" s="323">
        <f>#N/A</f>
        <v>744</v>
      </c>
      <c r="F140" s="323">
        <f>#N/A</f>
        <v>28.43</v>
      </c>
      <c r="G140" s="324">
        <f>#N/A</f>
        <v>28.43</v>
      </c>
      <c r="H140" s="323">
        <f>#N/A</f>
        <v>0</v>
      </c>
      <c r="I140" s="357">
        <f>#N/A</f>
        <v>1</v>
      </c>
      <c r="J140" s="323">
        <f>#N/A</f>
        <v>-715.57</v>
      </c>
      <c r="K140" s="357">
        <f>#N/A</f>
        <v>0.03821236559139785</v>
      </c>
      <c r="L140" s="323">
        <f>#N/A</f>
        <v>0</v>
      </c>
      <c r="M140" s="323">
        <f>#N/A</f>
        <v>0</v>
      </c>
      <c r="N140" s="323">
        <f>#N/A</f>
        <v>0</v>
      </c>
      <c r="O140" s="323">
        <f>#N/A</f>
        <v>705.31</v>
      </c>
      <c r="P140" s="323">
        <f>#N/A</f>
        <v>38.690000000000055</v>
      </c>
      <c r="Q140" s="357">
        <f>#N/A</f>
        <v>1.0548553118486907</v>
      </c>
      <c r="R140" s="323">
        <f>#N/A</f>
        <v>11.17</v>
      </c>
      <c r="S140" s="323">
        <f>#N/A</f>
        <v>17.259999999999998</v>
      </c>
      <c r="T140" s="357">
        <f>#N/A</f>
        <v>2.5452103849597134</v>
      </c>
      <c r="U140" s="323">
        <f>#N/A</f>
        <v>28.43</v>
      </c>
      <c r="V140" s="323">
        <f>#N/A</f>
        <v>28.43</v>
      </c>
      <c r="W140" s="323">
        <f>#N/A</f>
        <v>0</v>
      </c>
      <c r="X140" s="357">
        <f>#N/A</f>
        <v>1</v>
      </c>
      <c r="Y140" s="199">
        <f>#N/A</f>
        <v>1.4903550731110227</v>
      </c>
    </row>
    <row r="141" spans="2:25" ht="46.5" hidden="1">
      <c r="B141" s="329" t="s">
        <v>67</v>
      </c>
      <c r="C141" s="322">
        <v>21081500</v>
      </c>
      <c r="D141" s="323">
        <f>D59</f>
        <v>115.5</v>
      </c>
      <c r="E141" s="323">
        <f>#N/A</f>
        <v>115.5</v>
      </c>
      <c r="F141" s="323">
        <f>#N/A</f>
        <v>0</v>
      </c>
      <c r="G141" s="324">
        <f>#N/A</f>
        <v>-6.55</v>
      </c>
      <c r="H141" s="323">
        <f>#N/A</f>
        <v>-6.55</v>
      </c>
      <c r="I141" s="357" t="e">
        <f>#N/A</f>
        <v>#DIV/0!</v>
      </c>
      <c r="J141" s="323">
        <f>#N/A</f>
        <v>-122.05</v>
      </c>
      <c r="K141" s="357">
        <f>#N/A</f>
        <v>-0.05670995670995671</v>
      </c>
      <c r="L141" s="323">
        <f>#N/A</f>
        <v>0</v>
      </c>
      <c r="M141" s="323">
        <f>#N/A</f>
        <v>0</v>
      </c>
      <c r="N141" s="323">
        <f>#N/A</f>
        <v>0</v>
      </c>
      <c r="O141" s="323">
        <f>#N/A</f>
        <v>114.3</v>
      </c>
      <c r="P141" s="323">
        <f>#N/A</f>
        <v>1.2000000000000028</v>
      </c>
      <c r="Q141" s="357">
        <f>#N/A</f>
        <v>1.010498687664042</v>
      </c>
      <c r="R141" s="323">
        <f>#N/A</f>
        <v>0</v>
      </c>
      <c r="S141" s="323">
        <f>#N/A</f>
        <v>-6.55</v>
      </c>
      <c r="T141" s="357" t="e">
        <f>#N/A</f>
        <v>#DIV/0!</v>
      </c>
      <c r="U141" s="323">
        <f>#N/A</f>
        <v>0</v>
      </c>
      <c r="V141" s="323">
        <f>#N/A</f>
        <v>-6.55</v>
      </c>
      <c r="W141" s="323">
        <f>#N/A</f>
        <v>-6.55</v>
      </c>
      <c r="X141" s="357" t="e">
        <f>#N/A</f>
        <v>#DIV/0!</v>
      </c>
      <c r="Y141" s="199" t="e">
        <f>#N/A</f>
        <v>#DIV/0!</v>
      </c>
    </row>
    <row r="142" spans="2:25" ht="46.5" hidden="1">
      <c r="B142" s="329" t="s">
        <v>17</v>
      </c>
      <c r="C142" s="322" t="s">
        <v>18</v>
      </c>
      <c r="D142" s="323">
        <f>D71</f>
        <v>3</v>
      </c>
      <c r="E142" s="323">
        <f>#N/A</f>
        <v>3</v>
      </c>
      <c r="F142" s="323">
        <f>#N/A</f>
        <v>0</v>
      </c>
      <c r="G142" s="324">
        <f>#N/A</f>
        <v>0</v>
      </c>
      <c r="H142" s="323">
        <f>#N/A</f>
        <v>0</v>
      </c>
      <c r="I142" s="357" t="e">
        <f>#N/A</f>
        <v>#DIV/0!</v>
      </c>
      <c r="J142" s="323">
        <f>#N/A</f>
        <v>-3</v>
      </c>
      <c r="K142" s="357">
        <f>#N/A</f>
        <v>0</v>
      </c>
      <c r="L142" s="323">
        <f>#N/A</f>
        <v>0</v>
      </c>
      <c r="M142" s="323">
        <f>#N/A</f>
        <v>0</v>
      </c>
      <c r="N142" s="323">
        <f>#N/A</f>
        <v>0</v>
      </c>
      <c r="O142" s="323">
        <f>#N/A</f>
        <v>2.04</v>
      </c>
      <c r="P142" s="323">
        <f>#N/A</f>
        <v>0.96</v>
      </c>
      <c r="Q142" s="357">
        <f>#N/A</f>
        <v>1.4705882352941175</v>
      </c>
      <c r="R142" s="323">
        <f>#N/A</f>
        <v>1.67</v>
      </c>
      <c r="S142" s="323">
        <f>#N/A</f>
        <v>-1.67</v>
      </c>
      <c r="T142" s="357">
        <f>#N/A</f>
        <v>0</v>
      </c>
      <c r="U142" s="323">
        <f>#N/A</f>
        <v>0</v>
      </c>
      <c r="V142" s="323">
        <f>#N/A</f>
        <v>0</v>
      </c>
      <c r="W142" s="323">
        <f>#N/A</f>
        <v>0</v>
      </c>
      <c r="X142" s="357">
        <f>#N/A</f>
        <v>0</v>
      </c>
      <c r="Y142" s="199">
        <f>#N/A</f>
        <v>-1.4705882352941175</v>
      </c>
    </row>
    <row r="143" spans="2:25" ht="30.75" hidden="1">
      <c r="B143" s="344" t="s">
        <v>39</v>
      </c>
      <c r="C143" s="322">
        <v>31010200</v>
      </c>
      <c r="D143" s="345">
        <f>D77</f>
        <v>35</v>
      </c>
      <c r="E143" s="345">
        <f>#N/A</f>
        <v>35</v>
      </c>
      <c r="F143" s="345">
        <f>#N/A</f>
        <v>3.77</v>
      </c>
      <c r="G143" s="346">
        <f>#N/A</f>
        <v>3.77</v>
      </c>
      <c r="H143" s="345">
        <f>#N/A</f>
        <v>0</v>
      </c>
      <c r="I143" s="444">
        <f>#N/A</f>
        <v>1</v>
      </c>
      <c r="J143" s="345">
        <f>#N/A</f>
        <v>-31.23</v>
      </c>
      <c r="K143" s="444">
        <f>#N/A</f>
        <v>0.10771428571428572</v>
      </c>
      <c r="L143" s="345">
        <f>#N/A</f>
        <v>0</v>
      </c>
      <c r="M143" s="345">
        <f>#N/A</f>
        <v>0</v>
      </c>
      <c r="N143" s="345">
        <f>#N/A</f>
        <v>0</v>
      </c>
      <c r="O143" s="345">
        <f>#N/A</f>
        <v>34.22</v>
      </c>
      <c r="P143" s="345">
        <f>#N/A</f>
        <v>0.7800000000000011</v>
      </c>
      <c r="Q143" s="444">
        <f>#N/A</f>
        <v>1.0227936879018118</v>
      </c>
      <c r="R143" s="345">
        <f>#N/A</f>
        <v>1.49</v>
      </c>
      <c r="S143" s="345">
        <f>#N/A</f>
        <v>2.2800000000000002</v>
      </c>
      <c r="T143" s="444">
        <f>#N/A</f>
        <v>2.530201342281879</v>
      </c>
      <c r="U143" s="345">
        <f>#N/A</f>
        <v>3.77</v>
      </c>
      <c r="V143" s="345">
        <f>#N/A</f>
        <v>3.77</v>
      </c>
      <c r="W143" s="345">
        <f>#N/A</f>
        <v>0</v>
      </c>
      <c r="X143" s="444">
        <f>#N/A</f>
        <v>1</v>
      </c>
      <c r="Y143" s="199">
        <f>#N/A</f>
        <v>1.5074076543800674</v>
      </c>
    </row>
    <row r="144" spans="2:25" ht="30.75" hidden="1">
      <c r="B144" s="344" t="s">
        <v>49</v>
      </c>
      <c r="C144" s="322">
        <v>31020000</v>
      </c>
      <c r="D144" s="345">
        <f>D78</f>
        <v>0</v>
      </c>
      <c r="E144" s="345">
        <f>#N/A</f>
        <v>0</v>
      </c>
      <c r="F144" s="345">
        <f>#N/A</f>
        <v>0</v>
      </c>
      <c r="G144" s="346">
        <f>#N/A</f>
        <v>0</v>
      </c>
      <c r="H144" s="345">
        <f>#N/A</f>
        <v>0</v>
      </c>
      <c r="I144" s="444" t="e">
        <f>#N/A</f>
        <v>#DIV/0!</v>
      </c>
      <c r="J144" s="345">
        <f>#N/A</f>
        <v>0</v>
      </c>
      <c r="K144" s="444">
        <f>#N/A</f>
        <v>0</v>
      </c>
      <c r="L144" s="345">
        <f>#N/A</f>
        <v>0</v>
      </c>
      <c r="M144" s="345">
        <f>#N/A</f>
        <v>0</v>
      </c>
      <c r="N144" s="345">
        <f>#N/A</f>
        <v>0</v>
      </c>
      <c r="O144" s="345">
        <f>#N/A</f>
        <v>-4.86</v>
      </c>
      <c r="P144" s="345">
        <f>#N/A</f>
        <v>4.86</v>
      </c>
      <c r="Q144" s="444">
        <f>#N/A</f>
        <v>0</v>
      </c>
      <c r="R144" s="345">
        <f>#N/A</f>
        <v>0</v>
      </c>
      <c r="S144" s="345">
        <f>#N/A</f>
        <v>0</v>
      </c>
      <c r="T144" s="444" t="e">
        <f>#N/A</f>
        <v>#DIV/0!</v>
      </c>
      <c r="U144" s="345">
        <f>#N/A</f>
        <v>0</v>
      </c>
      <c r="V144" s="345">
        <f>#N/A</f>
        <v>0</v>
      </c>
      <c r="W144" s="345">
        <f>#N/A</f>
        <v>0</v>
      </c>
      <c r="X144" s="444">
        <f>#N/A</f>
        <v>0</v>
      </c>
      <c r="Y144" s="199" t="e">
        <f>#N/A</f>
        <v>#DIV/0!</v>
      </c>
    </row>
    <row r="145" spans="4:25" ht="15" hidden="1">
      <c r="D145" s="351">
        <f>SUM(D136:D144)</f>
        <v>1304.1</v>
      </c>
      <c r="E145" s="351">
        <f>SUM(E136:E144)</f>
        <v>1304.1</v>
      </c>
      <c r="F145" s="351">
        <f>SUM(F136:F144)</f>
        <v>34.2</v>
      </c>
      <c r="G145" s="461">
        <f>SUM(G136:G144)</f>
        <v>27.669999999999998</v>
      </c>
      <c r="H145" s="351">
        <f>SUM(H136:H144)</f>
        <v>-6.529999999999999</v>
      </c>
      <c r="I145" s="189">
        <f>G145/F145</f>
        <v>0.80906432748538</v>
      </c>
      <c r="J145" s="351">
        <f>#N/A</f>
        <v>-1276.43</v>
      </c>
      <c r="K145" s="189">
        <f>#N/A</f>
        <v>0.24460130998034224</v>
      </c>
      <c r="L145" s="351">
        <f>#N/A</f>
        <v>0</v>
      </c>
      <c r="M145" s="351">
        <f>#N/A</f>
        <v>0</v>
      </c>
      <c r="N145" s="351">
        <f>#N/A</f>
        <v>0</v>
      </c>
      <c r="O145" s="351">
        <f>#N/A</f>
        <v>1238.34</v>
      </c>
      <c r="P145" s="351">
        <f>#N/A</f>
        <v>65.76000000000005</v>
      </c>
      <c r="Q145" s="189">
        <f>E145/O145</f>
        <v>1.053103348030428</v>
      </c>
      <c r="R145" s="351">
        <f>SUM(R136:R144)</f>
        <v>29.2</v>
      </c>
      <c r="S145" s="351">
        <f>SUM(S136:S144)</f>
        <v>-1.5300000000000011</v>
      </c>
      <c r="T145" s="189">
        <f>G145/R145</f>
        <v>0.9476027397260274</v>
      </c>
      <c r="U145" s="351">
        <f>SUM(U136:U144)</f>
        <v>34.2</v>
      </c>
      <c r="V145" s="351">
        <f>SUM(V136:V144)</f>
        <v>27.669999999999998</v>
      </c>
      <c r="W145" s="351">
        <f>SUM(W136:W144)</f>
        <v>-6.529999999999999</v>
      </c>
      <c r="X145" s="189">
        <f>V145/U145</f>
        <v>0.80906432748538</v>
      </c>
      <c r="Y145" s="199">
        <f>#N/A</f>
        <v>-0.10550060830440056</v>
      </c>
    </row>
    <row r="146" spans="4:25" ht="15" hidden="1">
      <c r="D146" s="4"/>
      <c r="F146" s="78"/>
      <c r="G146" s="4"/>
      <c r="Y146" s="199">
        <f>#N/A</f>
        <v>0</v>
      </c>
    </row>
    <row r="147" spans="2:25" ht="15" hidden="1">
      <c r="B147" s="354" t="s">
        <v>183</v>
      </c>
      <c r="D147" s="4"/>
      <c r="F147" s="78"/>
      <c r="G147" s="4"/>
      <c r="Y147" s="199">
        <f>#N/A</f>
        <v>0</v>
      </c>
    </row>
    <row r="148" spans="2:25" ht="30.75" hidden="1">
      <c r="B148" s="355" t="s">
        <v>89</v>
      </c>
      <c r="C148" s="356">
        <v>22010300</v>
      </c>
      <c r="D148" s="323">
        <f>D60</f>
        <v>1284</v>
      </c>
      <c r="E148" s="323">
        <f>#N/A</f>
        <v>1284</v>
      </c>
      <c r="F148" s="323">
        <f>#N/A</f>
        <v>89.19</v>
      </c>
      <c r="G148" s="323">
        <f>#N/A</f>
        <v>89.19</v>
      </c>
      <c r="H148" s="323">
        <f>#N/A</f>
        <v>0</v>
      </c>
      <c r="I148" s="357">
        <f>#N/A</f>
        <v>1</v>
      </c>
      <c r="J148" s="323">
        <f>#N/A</f>
        <v>-1194.81</v>
      </c>
      <c r="K148" s="357">
        <f>#N/A</f>
        <v>0.0694626168224299</v>
      </c>
      <c r="L148" s="323">
        <f>#N/A</f>
        <v>0</v>
      </c>
      <c r="M148" s="323">
        <f>#N/A</f>
        <v>0</v>
      </c>
      <c r="N148" s="323">
        <f>#N/A</f>
        <v>0</v>
      </c>
      <c r="O148" s="323">
        <f>#N/A</f>
        <v>1205.14</v>
      </c>
      <c r="P148" s="323">
        <f>#N/A</f>
        <v>78.8599999999999</v>
      </c>
      <c r="Q148" s="357">
        <f>#N/A</f>
        <v>1.0654363808354215</v>
      </c>
      <c r="R148" s="323">
        <f>#N/A</f>
        <v>89.45</v>
      </c>
      <c r="S148" s="323">
        <f>#N/A</f>
        <v>-0.2600000000000051</v>
      </c>
      <c r="T148" s="357">
        <f>#N/A</f>
        <v>0.9970933482392398</v>
      </c>
      <c r="U148" s="323">
        <f>#N/A</f>
        <v>89.19</v>
      </c>
      <c r="V148" s="323">
        <f>#N/A</f>
        <v>89.19</v>
      </c>
      <c r="W148" s="323">
        <f>#N/A</f>
        <v>0</v>
      </c>
      <c r="X148" s="357">
        <f>#N/A</f>
        <v>1</v>
      </c>
      <c r="Y148" s="199">
        <f>#N/A</f>
        <v>-0.06834303259618169</v>
      </c>
    </row>
    <row r="149" spans="2:25" ht="15" hidden="1">
      <c r="B149" s="355" t="s">
        <v>106</v>
      </c>
      <c r="C149" s="356">
        <v>22010200</v>
      </c>
      <c r="D149" s="323">
        <f>D61</f>
        <v>0</v>
      </c>
      <c r="E149" s="323">
        <f>#N/A</f>
        <v>0</v>
      </c>
      <c r="F149" s="323">
        <f>#N/A</f>
        <v>0</v>
      </c>
      <c r="G149" s="323">
        <f>#N/A</f>
        <v>0</v>
      </c>
      <c r="H149" s="323">
        <f>#N/A</f>
        <v>0</v>
      </c>
      <c r="I149" s="357" t="e">
        <f>#N/A</f>
        <v>#DIV/0!</v>
      </c>
      <c r="J149" s="323">
        <f>#N/A</f>
        <v>0</v>
      </c>
      <c r="K149" s="357" t="e">
        <f>#N/A</f>
        <v>#DIV/0!</v>
      </c>
      <c r="L149" s="323">
        <f>#N/A</f>
        <v>0</v>
      </c>
      <c r="M149" s="323">
        <f>#N/A</f>
        <v>0</v>
      </c>
      <c r="N149" s="323">
        <f>#N/A</f>
        <v>0</v>
      </c>
      <c r="O149" s="323">
        <f>#N/A</f>
        <v>23.38</v>
      </c>
      <c r="P149" s="323">
        <f>#N/A</f>
        <v>-23.38</v>
      </c>
      <c r="Q149" s="357">
        <f>#N/A</f>
        <v>0</v>
      </c>
      <c r="R149" s="323">
        <f>#N/A</f>
        <v>0</v>
      </c>
      <c r="S149" s="323">
        <f>#N/A</f>
        <v>0</v>
      </c>
      <c r="T149" s="357">
        <f>#N/A</f>
        <v>0</v>
      </c>
      <c r="U149" s="323">
        <f>#N/A</f>
        <v>0</v>
      </c>
      <c r="V149" s="323">
        <f>#N/A</f>
        <v>0</v>
      </c>
      <c r="W149" s="323">
        <f>#N/A</f>
        <v>0</v>
      </c>
      <c r="X149" s="357" t="e">
        <f>#N/A</f>
        <v>#DIV/0!</v>
      </c>
      <c r="Y149" s="199">
        <f>#N/A</f>
        <v>0</v>
      </c>
    </row>
    <row r="150" spans="2:25" ht="15" hidden="1">
      <c r="B150" s="358" t="s">
        <v>65</v>
      </c>
      <c r="C150" s="359">
        <v>22012500</v>
      </c>
      <c r="D150" s="360">
        <f>D62</f>
        <v>21260</v>
      </c>
      <c r="E150" s="360">
        <f>#N/A</f>
        <v>21260</v>
      </c>
      <c r="F150" s="360">
        <f>#N/A</f>
        <v>1890</v>
      </c>
      <c r="G150" s="360">
        <f>#N/A</f>
        <v>1894.1</v>
      </c>
      <c r="H150" s="360">
        <f>#N/A</f>
        <v>4.099999999999909</v>
      </c>
      <c r="I150" s="362">
        <f>#N/A</f>
        <v>1.002169312169312</v>
      </c>
      <c r="J150" s="360">
        <f>#N/A</f>
        <v>-19365.9</v>
      </c>
      <c r="K150" s="362">
        <f>#N/A</f>
        <v>0.08909219190968955</v>
      </c>
      <c r="L150" s="360">
        <f>#N/A</f>
        <v>0</v>
      </c>
      <c r="M150" s="360">
        <f>#N/A</f>
        <v>0</v>
      </c>
      <c r="N150" s="360">
        <f>#N/A</f>
        <v>0</v>
      </c>
      <c r="O150" s="360">
        <f>#N/A</f>
        <v>20110.14</v>
      </c>
      <c r="P150" s="360">
        <f>#N/A</f>
        <v>1149.8600000000006</v>
      </c>
      <c r="Q150" s="362">
        <f>#N/A</f>
        <v>1.0571781200926498</v>
      </c>
      <c r="R150" s="360">
        <f>#N/A</f>
        <v>1052.56</v>
      </c>
      <c r="S150" s="360">
        <f>#N/A</f>
        <v>841.54</v>
      </c>
      <c r="T150" s="362">
        <f>#N/A</f>
        <v>1.7995173671809683</v>
      </c>
      <c r="U150" s="360">
        <f>#N/A</f>
        <v>1890</v>
      </c>
      <c r="V150" s="360">
        <f>#N/A</f>
        <v>1894.1</v>
      </c>
      <c r="W150" s="360">
        <f>#N/A</f>
        <v>4.099999999999909</v>
      </c>
      <c r="X150" s="362">
        <f>#N/A</f>
        <v>1.002169312169312</v>
      </c>
      <c r="Y150" s="199">
        <f>#N/A</f>
        <v>0.7423392470883186</v>
      </c>
    </row>
    <row r="151" spans="2:25" ht="30.75" hidden="1">
      <c r="B151" s="358" t="s">
        <v>86</v>
      </c>
      <c r="C151" s="359">
        <v>22012600</v>
      </c>
      <c r="D151" s="360">
        <f>D63</f>
        <v>767</v>
      </c>
      <c r="E151" s="360">
        <f>#N/A</f>
        <v>767</v>
      </c>
      <c r="F151" s="360">
        <f>#N/A</f>
        <v>57</v>
      </c>
      <c r="G151" s="360">
        <f>#N/A</f>
        <v>59.37</v>
      </c>
      <c r="H151" s="360">
        <f>#N/A</f>
        <v>2.3699999999999974</v>
      </c>
      <c r="I151" s="362">
        <f>#N/A</f>
        <v>1.041578947368421</v>
      </c>
      <c r="J151" s="360">
        <f>#N/A</f>
        <v>-707.63</v>
      </c>
      <c r="K151" s="362">
        <f>#N/A</f>
        <v>0.07740547588005214</v>
      </c>
      <c r="L151" s="360">
        <f>#N/A</f>
        <v>0</v>
      </c>
      <c r="M151" s="360">
        <f>#N/A</f>
        <v>0</v>
      </c>
      <c r="N151" s="360">
        <f>#N/A</f>
        <v>0</v>
      </c>
      <c r="O151" s="360">
        <f>#N/A</f>
        <v>710.04</v>
      </c>
      <c r="P151" s="360">
        <f>#N/A</f>
        <v>56.960000000000036</v>
      </c>
      <c r="Q151" s="362">
        <f>#N/A</f>
        <v>1.0802208326291478</v>
      </c>
      <c r="R151" s="360">
        <f>#N/A</f>
        <v>44.53</v>
      </c>
      <c r="S151" s="360">
        <f>#N/A</f>
        <v>14.839999999999996</v>
      </c>
      <c r="T151" s="362">
        <f>#N/A</f>
        <v>1.3332584774309453</v>
      </c>
      <c r="U151" s="360">
        <f>#N/A</f>
        <v>57</v>
      </c>
      <c r="V151" s="360">
        <f>#N/A</f>
        <v>59.37</v>
      </c>
      <c r="W151" s="360">
        <f>#N/A</f>
        <v>2.3699999999999974</v>
      </c>
      <c r="X151" s="362">
        <f>#N/A</f>
        <v>1.041578947368421</v>
      </c>
      <c r="Y151" s="199">
        <f>#N/A</f>
        <v>0.25303764480179747</v>
      </c>
    </row>
    <row r="152" spans="2:25" ht="30.75" hidden="1">
      <c r="B152" s="358" t="s">
        <v>90</v>
      </c>
      <c r="C152" s="359">
        <v>22012900</v>
      </c>
      <c r="D152" s="360">
        <f>D64</f>
        <v>44</v>
      </c>
      <c r="E152" s="360">
        <f>#N/A</f>
        <v>44</v>
      </c>
      <c r="F152" s="360">
        <f>#N/A</f>
        <v>1</v>
      </c>
      <c r="G152" s="360">
        <f>#N/A</f>
        <v>1.06</v>
      </c>
      <c r="H152" s="360">
        <f>#N/A</f>
        <v>0.06000000000000005</v>
      </c>
      <c r="I152" s="362">
        <f>#N/A</f>
        <v>1.06</v>
      </c>
      <c r="J152" s="360">
        <f>#N/A</f>
        <v>-42.94</v>
      </c>
      <c r="K152" s="362">
        <f>#N/A</f>
        <v>0.024090909090909093</v>
      </c>
      <c r="L152" s="360">
        <f>#N/A</f>
        <v>0</v>
      </c>
      <c r="M152" s="360">
        <f>#N/A</f>
        <v>0</v>
      </c>
      <c r="N152" s="360">
        <f>#N/A</f>
        <v>0</v>
      </c>
      <c r="O152" s="360">
        <f>#N/A</f>
        <v>41.44</v>
      </c>
      <c r="P152" s="360">
        <f>#N/A</f>
        <v>2.5600000000000023</v>
      </c>
      <c r="Q152" s="362">
        <f>#N/A</f>
        <v>1.0617760617760619</v>
      </c>
      <c r="R152" s="360">
        <f>#N/A</f>
        <v>0</v>
      </c>
      <c r="S152" s="360">
        <f>#N/A</f>
        <v>1.06</v>
      </c>
      <c r="T152" s="362" t="e">
        <f>#N/A</f>
        <v>#DIV/0!</v>
      </c>
      <c r="U152" s="360">
        <f>#N/A</f>
        <v>1</v>
      </c>
      <c r="V152" s="360">
        <f>#N/A</f>
        <v>1.06</v>
      </c>
      <c r="W152" s="360">
        <f>#N/A</f>
        <v>0.06000000000000005</v>
      </c>
      <c r="X152" s="362">
        <f>#N/A</f>
        <v>1.06</v>
      </c>
      <c r="Y152" s="199" t="e">
        <f>#N/A</f>
        <v>#DIV/0!</v>
      </c>
    </row>
    <row r="153" spans="2:25" ht="15" hidden="1">
      <c r="B153" s="354" t="s">
        <v>183</v>
      </c>
      <c r="C153" s="365">
        <v>22010000</v>
      </c>
      <c r="D153" s="351">
        <f>SUM(D148:D152)</f>
        <v>23355</v>
      </c>
      <c r="E153" s="351">
        <f>#N/A</f>
        <v>23355</v>
      </c>
      <c r="F153" s="351">
        <f>#N/A</f>
        <v>2037.19</v>
      </c>
      <c r="G153" s="351">
        <f>#N/A</f>
        <v>2043.7199999999998</v>
      </c>
      <c r="H153" s="351">
        <f>#N/A</f>
        <v>6.529999999999907</v>
      </c>
      <c r="I153" s="189">
        <f>G153/F153</f>
        <v>1.0032053956675615</v>
      </c>
      <c r="J153" s="351">
        <f>#N/A</f>
        <v>-21311.280000000002</v>
      </c>
      <c r="K153" s="189">
        <f>G153/E153</f>
        <v>0.0875067437379576</v>
      </c>
      <c r="L153" s="351">
        <f>#N/A</f>
        <v>0</v>
      </c>
      <c r="M153" s="351">
        <f>#N/A</f>
        <v>0</v>
      </c>
      <c r="N153" s="351">
        <f>#N/A</f>
        <v>0</v>
      </c>
      <c r="O153" s="351">
        <f>#N/A</f>
        <v>22090.14</v>
      </c>
      <c r="P153" s="351">
        <f>#N/A</f>
        <v>1264.8600000000006</v>
      </c>
      <c r="Q153" s="189">
        <f>E153/O153</f>
        <v>1.0572590304995804</v>
      </c>
      <c r="R153" s="351">
        <f>#N/A</f>
        <v>1186.54</v>
      </c>
      <c r="S153" s="351">
        <f>#N/A</f>
        <v>857.18</v>
      </c>
      <c r="T153" s="189">
        <f>G153/R153</f>
        <v>1.7224198088560014</v>
      </c>
      <c r="U153" s="351">
        <f>#N/A</f>
        <v>2037.19</v>
      </c>
      <c r="V153" s="351">
        <f>#N/A</f>
        <v>2043.7199999999998</v>
      </c>
      <c r="W153" s="351">
        <f>#N/A</f>
        <v>6.529999999999907</v>
      </c>
      <c r="X153" s="189">
        <f>V153/U153</f>
        <v>1.0032053956675615</v>
      </c>
      <c r="Y153" s="199">
        <f>#N/A</f>
        <v>0.6651607783564211</v>
      </c>
    </row>
    <row r="154" spans="4:25" ht="15" hidden="1">
      <c r="D154" s="4"/>
      <c r="F154" s="78"/>
      <c r="G154" s="4"/>
      <c r="Y154" s="199"/>
    </row>
    <row r="155" spans="4:25" ht="15" hidden="1">
      <c r="D155" s="4"/>
      <c r="F155" s="78"/>
      <c r="G155" s="4"/>
      <c r="Y155" s="199"/>
    </row>
    <row r="156" spans="2:25" ht="15" hidden="1">
      <c r="B156" s="354" t="s">
        <v>184</v>
      </c>
      <c r="D156" s="4"/>
      <c r="F156" s="78"/>
      <c r="G156" s="4"/>
      <c r="Y156" s="199"/>
    </row>
    <row r="157" spans="2:25" ht="15" hidden="1">
      <c r="B157" s="366" t="s">
        <v>13</v>
      </c>
      <c r="C157" s="322" t="s">
        <v>19</v>
      </c>
      <c r="D157" s="348">
        <f>D72</f>
        <v>8170</v>
      </c>
      <c r="E157" s="348">
        <f>#N/A</f>
        <v>8170</v>
      </c>
      <c r="F157" s="348">
        <f>#N/A</f>
        <v>568.65</v>
      </c>
      <c r="G157" s="348">
        <f>#N/A</f>
        <v>568.65</v>
      </c>
      <c r="H157" s="348">
        <f>#N/A</f>
        <v>0</v>
      </c>
      <c r="I157" s="347">
        <f>#N/A</f>
        <v>1</v>
      </c>
      <c r="J157" s="348">
        <f>#N/A</f>
        <v>-7601.35</v>
      </c>
      <c r="K157" s="347">
        <f>#N/A</f>
        <v>0.06960220318237453</v>
      </c>
      <c r="L157" s="348">
        <f>#N/A</f>
        <v>0</v>
      </c>
      <c r="M157" s="348">
        <f>#N/A</f>
        <v>0</v>
      </c>
      <c r="N157" s="348">
        <f>#N/A</f>
        <v>0</v>
      </c>
      <c r="O157" s="348">
        <f>#N/A</f>
        <v>8086.92</v>
      </c>
      <c r="P157" s="348">
        <f>#N/A</f>
        <v>83.07999999999993</v>
      </c>
      <c r="Q157" s="347">
        <f>#N/A</f>
        <v>1.0102733797292418</v>
      </c>
      <c r="R157" s="348">
        <f>#N/A</f>
        <v>2247.33</v>
      </c>
      <c r="S157" s="348">
        <f>#N/A</f>
        <v>-1678.6799999999998</v>
      </c>
      <c r="T157" s="347">
        <f>#N/A</f>
        <v>0.2530335998718479</v>
      </c>
      <c r="U157" s="348">
        <f>#N/A</f>
        <v>568.65</v>
      </c>
      <c r="V157" s="348">
        <f>#N/A</f>
        <v>568.65</v>
      </c>
      <c r="W157" s="348">
        <f>#N/A</f>
        <v>0</v>
      </c>
      <c r="X157" s="347">
        <f>#N/A</f>
        <v>1</v>
      </c>
      <c r="Y157" s="199">
        <f>#N/A</f>
        <v>-0.7572397798573939</v>
      </c>
    </row>
    <row r="158" spans="2:25" ht="46.5" hidden="1">
      <c r="B158" s="366" t="s">
        <v>38</v>
      </c>
      <c r="C158" s="322">
        <v>24061900</v>
      </c>
      <c r="D158" s="348">
        <f>D76</f>
        <v>174.4</v>
      </c>
      <c r="E158" s="348">
        <f>#N/A</f>
        <v>174.4</v>
      </c>
      <c r="F158" s="348">
        <f>#N/A</f>
        <v>0</v>
      </c>
      <c r="G158" s="348">
        <f>#N/A</f>
        <v>0</v>
      </c>
      <c r="H158" s="348">
        <f>#N/A</f>
        <v>0</v>
      </c>
      <c r="I158" s="347" t="e">
        <f>#N/A</f>
        <v>#DIV/0!</v>
      </c>
      <c r="J158" s="348">
        <f>#N/A</f>
        <v>-174.4</v>
      </c>
      <c r="K158" s="347">
        <f>#N/A</f>
        <v>0</v>
      </c>
      <c r="L158" s="348">
        <f>#N/A</f>
        <v>0</v>
      </c>
      <c r="M158" s="348">
        <f>#N/A</f>
        <v>0</v>
      </c>
      <c r="N158" s="348">
        <f>#N/A</f>
        <v>0</v>
      </c>
      <c r="O158" s="348">
        <f>#N/A</f>
        <v>142.18</v>
      </c>
      <c r="P158" s="348">
        <f>#N/A</f>
        <v>32.22</v>
      </c>
      <c r="Q158" s="347">
        <f>#N/A</f>
        <v>1.2266141510761006</v>
      </c>
      <c r="R158" s="348">
        <f>#N/A</f>
        <v>32.89</v>
      </c>
      <c r="S158" s="348">
        <f>#N/A</f>
        <v>-32.89</v>
      </c>
      <c r="T158" s="347">
        <f>#N/A</f>
        <v>0</v>
      </c>
      <c r="U158" s="348">
        <f>#N/A</f>
        <v>0</v>
      </c>
      <c r="V158" s="348">
        <f>#N/A</f>
        <v>0</v>
      </c>
      <c r="W158" s="348">
        <f>#N/A</f>
        <v>0</v>
      </c>
      <c r="X158" s="347" t="e">
        <f>#N/A</f>
        <v>#DIV/0!</v>
      </c>
      <c r="Y158" s="199">
        <f>#N/A</f>
        <v>-1.2266141510761006</v>
      </c>
    </row>
    <row r="159" spans="2:25" ht="15" hidden="1">
      <c r="B159" s="354" t="s">
        <v>184</v>
      </c>
      <c r="C159" s="370">
        <v>24060000</v>
      </c>
      <c r="D159" s="351">
        <f>SUM(D157:D158)</f>
        <v>8344.4</v>
      </c>
      <c r="E159" s="351">
        <f>#N/A</f>
        <v>8344.4</v>
      </c>
      <c r="F159" s="351">
        <f>#N/A</f>
        <v>568.65</v>
      </c>
      <c r="G159" s="351">
        <f>#N/A</f>
        <v>568.65</v>
      </c>
      <c r="H159" s="351">
        <f>#N/A</f>
        <v>0</v>
      </c>
      <c r="I159" s="189">
        <f>G159/F159</f>
        <v>1</v>
      </c>
      <c r="J159" s="351">
        <f>#N/A</f>
        <v>-7775.75</v>
      </c>
      <c r="K159" s="189">
        <f>G159/E159</f>
        <v>0.06814750011984085</v>
      </c>
      <c r="L159" s="351">
        <f>#N/A</f>
        <v>0</v>
      </c>
      <c r="M159" s="351">
        <f>#N/A</f>
        <v>0</v>
      </c>
      <c r="N159" s="351">
        <f>#N/A</f>
        <v>0</v>
      </c>
      <c r="O159" s="351">
        <f>#N/A</f>
        <v>8229.1</v>
      </c>
      <c r="P159" s="351">
        <f>#N/A</f>
        <v>115.29999999999993</v>
      </c>
      <c r="Q159" s="189">
        <f>E159/O159</f>
        <v>1.0140112527493892</v>
      </c>
      <c r="R159" s="351">
        <f>#N/A</f>
        <v>2280.22</v>
      </c>
      <c r="S159" s="351">
        <f>#N/A</f>
        <v>-1711.57</v>
      </c>
      <c r="T159" s="189">
        <f>G159/R159</f>
        <v>0.24938383138469097</v>
      </c>
      <c r="U159" s="351">
        <f>#N/A</f>
        <v>568.65</v>
      </c>
      <c r="V159" s="351">
        <f>#N/A</f>
        <v>568.65</v>
      </c>
      <c r="W159" s="351">
        <f>#N/A</f>
        <v>0</v>
      </c>
      <c r="X159" s="189">
        <f>V159/U159</f>
        <v>1</v>
      </c>
      <c r="Y159" s="199">
        <f>#N/A</f>
        <v>-0.7646274213646982</v>
      </c>
    </row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</sheetData>
  <sheetProtection/>
  <mergeCells count="28">
    <mergeCell ref="B109:C109"/>
    <mergeCell ref="G109:H109"/>
    <mergeCell ref="G110:H110"/>
    <mergeCell ref="V3:X3"/>
    <mergeCell ref="F4:F5"/>
    <mergeCell ref="G106:H106"/>
    <mergeCell ref="G107:H107"/>
    <mergeCell ref="G108:H108"/>
    <mergeCell ref="K4:K5"/>
    <mergeCell ref="V4:V5"/>
    <mergeCell ref="A1:X1"/>
    <mergeCell ref="B2:E2"/>
    <mergeCell ref="A3:A5"/>
    <mergeCell ref="B3:B5"/>
    <mergeCell ref="C3:C5"/>
    <mergeCell ref="E3:E5"/>
    <mergeCell ref="G3:K3"/>
    <mergeCell ref="U3:U5"/>
    <mergeCell ref="D3:D5"/>
    <mergeCell ref="W4:W5"/>
    <mergeCell ref="X4:X5"/>
    <mergeCell ref="L5:N5"/>
    <mergeCell ref="O5:Q5"/>
    <mergeCell ref="R5:T5"/>
    <mergeCell ref="G4:G5"/>
    <mergeCell ref="H4:H5"/>
    <mergeCell ref="I4:I5"/>
    <mergeCell ref="J4:J5"/>
  </mergeCells>
  <printOptions/>
  <pageMargins left="0.7086614173228347" right="0" top="0.15748031496062992" bottom="0" header="0" footer="0"/>
  <pageSetup fitToHeight="1" fitToWidth="1" orientation="portrait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8"/>
  <sheetViews>
    <sheetView zoomScale="89" zoomScaleNormal="89" zoomScalePageLayoutView="0" workbookViewId="0" topLeftCell="B1">
      <pane xSplit="2" ySplit="8" topLeftCell="D3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37" sqref="F3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4.50390625" style="4" customWidth="1"/>
    <col min="5" max="5" width="14.00390625" style="4" hidden="1" customWidth="1"/>
    <col min="6" max="6" width="13.875" style="78" customWidth="1"/>
    <col min="7" max="7" width="13.25390625" style="4" customWidth="1"/>
    <col min="8" max="8" width="11.50390625" style="4" customWidth="1"/>
    <col min="9" max="9" width="15.25390625" style="4" hidden="1" customWidth="1"/>
    <col min="10" max="13" width="11.75390625" style="4" hidden="1" customWidth="1"/>
    <col min="14" max="14" width="14.00390625" style="4" hidden="1" customWidth="1"/>
    <col min="15" max="15" width="11.75390625" style="4" hidden="1" customWidth="1"/>
    <col min="16" max="16" width="11.875" style="163" customWidth="1"/>
    <col min="17" max="17" width="13.625" style="4" hidden="1" customWidth="1"/>
    <col min="18" max="18" width="12.25390625" style="4" hidden="1" customWidth="1"/>
    <col min="19" max="19" width="14.25390625" style="4" customWidth="1"/>
    <col min="20" max="20" width="12.00390625" style="4" hidden="1" customWidth="1"/>
    <col min="21" max="21" width="12.25390625" style="4" hidden="1" customWidth="1"/>
    <col min="22" max="22" width="12.625" style="4" hidden="1" customWidth="1"/>
    <col min="23" max="23" width="11.00390625" style="4" hidden="1" customWidth="1"/>
    <col min="24" max="24" width="11.375" style="186" hidden="1" customWidth="1"/>
    <col min="25" max="25" width="9.125" style="4" hidden="1" customWidth="1"/>
    <col min="26" max="16384" width="9.125" style="4" customWidth="1"/>
  </cols>
  <sheetData>
    <row r="1" spans="1:24" s="1" customFormat="1" ht="26.25" customHeight="1">
      <c r="A1" s="504" t="s">
        <v>142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186"/>
    </row>
    <row r="2" spans="2:24" s="1" customFormat="1" ht="15.75" customHeight="1">
      <c r="B2" s="470"/>
      <c r="C2" s="470"/>
      <c r="D2" s="470"/>
      <c r="E2" s="2"/>
      <c r="F2" s="77"/>
      <c r="G2" s="2"/>
      <c r="H2" s="2"/>
      <c r="P2" s="187"/>
      <c r="S2" s="1" t="s">
        <v>24</v>
      </c>
      <c r="W2" s="16" t="s">
        <v>24</v>
      </c>
      <c r="X2" s="186"/>
    </row>
    <row r="3" spans="1:24" s="3" customFormat="1" ht="13.5" customHeight="1">
      <c r="A3" s="471"/>
      <c r="B3" s="473"/>
      <c r="C3" s="474" t="s">
        <v>0</v>
      </c>
      <c r="D3" s="475" t="s">
        <v>143</v>
      </c>
      <c r="E3" s="25"/>
      <c r="F3" s="476" t="s">
        <v>26</v>
      </c>
      <c r="G3" s="477"/>
      <c r="H3" s="477"/>
      <c r="I3" s="477"/>
      <c r="J3" s="478"/>
      <c r="K3" s="64" t="s">
        <v>107</v>
      </c>
      <c r="L3" s="64"/>
      <c r="M3" s="64"/>
      <c r="N3" s="64" t="s">
        <v>107</v>
      </c>
      <c r="O3" s="64"/>
      <c r="P3" s="188"/>
      <c r="Q3" s="64"/>
      <c r="R3" s="64"/>
      <c r="S3" s="64"/>
      <c r="T3" s="511" t="s">
        <v>144</v>
      </c>
      <c r="U3" s="482" t="s">
        <v>145</v>
      </c>
      <c r="V3" s="482"/>
      <c r="W3" s="482"/>
      <c r="X3" s="194"/>
    </row>
    <row r="4" spans="1:23" ht="22.5" customHeight="1">
      <c r="A4" s="471"/>
      <c r="B4" s="473"/>
      <c r="C4" s="474"/>
      <c r="D4" s="475"/>
      <c r="E4" s="483" t="s">
        <v>146</v>
      </c>
      <c r="F4" s="485" t="s">
        <v>31</v>
      </c>
      <c r="G4" s="487" t="s">
        <v>147</v>
      </c>
      <c r="H4" s="480" t="s">
        <v>148</v>
      </c>
      <c r="I4" s="487" t="s">
        <v>149</v>
      </c>
      <c r="J4" s="480" t="s">
        <v>150</v>
      </c>
      <c r="K4" s="65" t="s">
        <v>108</v>
      </c>
      <c r="L4" s="142" t="s">
        <v>96</v>
      </c>
      <c r="M4" s="66" t="s">
        <v>53</v>
      </c>
      <c r="N4" s="65" t="s">
        <v>151</v>
      </c>
      <c r="O4" s="142" t="s">
        <v>96</v>
      </c>
      <c r="P4" s="189" t="s">
        <v>53</v>
      </c>
      <c r="Q4" s="65" t="s">
        <v>151</v>
      </c>
      <c r="R4" s="142" t="s">
        <v>96</v>
      </c>
      <c r="S4" s="66" t="s">
        <v>53</v>
      </c>
      <c r="T4" s="480"/>
      <c r="U4" s="489" t="s">
        <v>152</v>
      </c>
      <c r="V4" s="487" t="s">
        <v>44</v>
      </c>
      <c r="W4" s="491" t="s">
        <v>43</v>
      </c>
    </row>
    <row r="5" spans="1:23" ht="67.5" customHeight="1">
      <c r="A5" s="472"/>
      <c r="B5" s="473"/>
      <c r="C5" s="474"/>
      <c r="D5" s="475"/>
      <c r="E5" s="484"/>
      <c r="F5" s="486"/>
      <c r="G5" s="488"/>
      <c r="H5" s="481"/>
      <c r="I5" s="488"/>
      <c r="J5" s="481"/>
      <c r="K5" s="492" t="s">
        <v>109</v>
      </c>
      <c r="L5" s="493"/>
      <c r="M5" s="494"/>
      <c r="N5" s="495" t="s">
        <v>153</v>
      </c>
      <c r="O5" s="496"/>
      <c r="P5" s="497"/>
      <c r="Q5" s="498" t="s">
        <v>154</v>
      </c>
      <c r="R5" s="498"/>
      <c r="S5" s="498"/>
      <c r="T5" s="481"/>
      <c r="U5" s="490"/>
      <c r="V5" s="488"/>
      <c r="W5" s="491"/>
    </row>
    <row r="6" spans="1:23" ht="15.75" customHeight="1">
      <c r="A6" s="5" t="s">
        <v>1</v>
      </c>
      <c r="B6" s="10" t="s">
        <v>2</v>
      </c>
      <c r="C6" s="48" t="s">
        <v>3</v>
      </c>
      <c r="D6" s="10" t="s">
        <v>4</v>
      </c>
      <c r="E6" s="10" t="s">
        <v>5</v>
      </c>
      <c r="F6" s="92" t="s">
        <v>6</v>
      </c>
      <c r="G6" s="10" t="s">
        <v>7</v>
      </c>
      <c r="H6" s="10" t="s">
        <v>33</v>
      </c>
      <c r="I6" s="10" t="s">
        <v>50</v>
      </c>
      <c r="J6" s="10" t="s">
        <v>8</v>
      </c>
      <c r="K6" s="10"/>
      <c r="L6" s="10"/>
      <c r="M6" s="10"/>
      <c r="N6" s="10"/>
      <c r="O6" s="10"/>
      <c r="P6" s="190"/>
      <c r="Q6" s="10" t="s">
        <v>25</v>
      </c>
      <c r="R6" s="10"/>
      <c r="S6" s="10" t="s">
        <v>55</v>
      </c>
      <c r="T6" s="10" t="s">
        <v>56</v>
      </c>
      <c r="U6" s="97" t="s">
        <v>57</v>
      </c>
      <c r="V6" s="10" t="s">
        <v>58</v>
      </c>
      <c r="W6" s="10" t="s">
        <v>59</v>
      </c>
    </row>
    <row r="7" spans="1:23" ht="15.75" customHeight="1">
      <c r="A7" s="17"/>
      <c r="B7" s="18" t="s">
        <v>27</v>
      </c>
      <c r="C7" s="48"/>
      <c r="D7" s="10"/>
      <c r="E7" s="10"/>
      <c r="F7" s="92"/>
      <c r="G7" s="10"/>
      <c r="H7" s="10"/>
      <c r="I7" s="10"/>
      <c r="J7" s="10"/>
      <c r="K7" s="10"/>
      <c r="L7" s="10"/>
      <c r="M7" s="10"/>
      <c r="N7" s="10"/>
      <c r="O7" s="10"/>
      <c r="P7" s="190"/>
      <c r="Q7" s="10"/>
      <c r="R7" s="10"/>
      <c r="S7" s="10"/>
      <c r="T7" s="10"/>
      <c r="U7" s="97"/>
      <c r="V7" s="10"/>
      <c r="W7" s="10"/>
    </row>
    <row r="8" spans="1:25" s="6" customFormat="1" ht="17.25">
      <c r="A8" s="7"/>
      <c r="B8" s="105" t="s">
        <v>9</v>
      </c>
      <c r="C8" s="55" t="s">
        <v>10</v>
      </c>
      <c r="D8" s="103">
        <v>1330946.1</v>
      </c>
      <c r="E8" s="103">
        <v>1330946.1</v>
      </c>
      <c r="F8" s="103">
        <v>1329586.1300000001</v>
      </c>
      <c r="G8" s="103">
        <v>-1359.969999999972</v>
      </c>
      <c r="H8" s="210">
        <v>0.998978193031258</v>
      </c>
      <c r="I8" s="104">
        <v>-1359.969999999972</v>
      </c>
      <c r="J8" s="156">
        <v>0.998978193031258</v>
      </c>
      <c r="K8" s="104"/>
      <c r="L8" s="104"/>
      <c r="M8" s="104"/>
      <c r="N8" s="104">
        <v>984796</v>
      </c>
      <c r="O8" s="104">
        <v>346150.1000000001</v>
      </c>
      <c r="P8" s="156">
        <v>1.3514942180918688</v>
      </c>
      <c r="Q8" s="103">
        <v>984796</v>
      </c>
      <c r="R8" s="103">
        <v>344790.1300000001</v>
      </c>
      <c r="S8" s="143">
        <v>1.3501132518816081</v>
      </c>
      <c r="T8" s="103">
        <v>148380.5</v>
      </c>
      <c r="U8" s="103">
        <v>123393.64000000012</v>
      </c>
      <c r="V8" s="103">
        <v>-24986.859999999884</v>
      </c>
      <c r="W8" s="143">
        <v>0.8316028049507861</v>
      </c>
      <c r="X8" s="199">
        <f>#N/A</f>
        <v>-0.0013809662102606257</v>
      </c>
      <c r="Y8" s="259">
        <f>S8-P8</f>
        <v>-0.0013809662102606257</v>
      </c>
    </row>
    <row r="9" spans="1:25" s="6" customFormat="1" ht="18">
      <c r="A9" s="8"/>
      <c r="B9" s="88" t="s">
        <v>66</v>
      </c>
      <c r="C9" s="34">
        <v>11010000</v>
      </c>
      <c r="D9" s="102">
        <v>774189.5</v>
      </c>
      <c r="E9" s="102">
        <v>774189.5</v>
      </c>
      <c r="F9" s="106">
        <v>775821.8</v>
      </c>
      <c r="G9" s="102">
        <v>1632.3000000000466</v>
      </c>
      <c r="H9" s="208">
        <v>1.0021083985251673</v>
      </c>
      <c r="I9" s="108">
        <v>1632.3000000000466</v>
      </c>
      <c r="J9" s="148">
        <v>1.0021083985251673</v>
      </c>
      <c r="K9" s="108"/>
      <c r="L9" s="108"/>
      <c r="M9" s="108"/>
      <c r="N9" s="108">
        <v>541908.6</v>
      </c>
      <c r="O9" s="108">
        <v>232280.90000000002</v>
      </c>
      <c r="P9" s="148">
        <v>1.4286348288253776</v>
      </c>
      <c r="Q9" s="161">
        <v>541908.6</v>
      </c>
      <c r="R9" s="109">
        <v>233913.20000000007</v>
      </c>
      <c r="S9" s="144">
        <v>1.4316469603914757</v>
      </c>
      <c r="T9" s="107">
        <v>88523.5</v>
      </c>
      <c r="U9" s="110">
        <v>86380.6100000001</v>
      </c>
      <c r="V9" s="111">
        <v>-2142.8899999998976</v>
      </c>
      <c r="W9" s="148">
        <v>0.9757929815246811</v>
      </c>
      <c r="X9" s="200">
        <f>#N/A</f>
        <v>0.003012131566098031</v>
      </c>
      <c r="Y9" s="260">
        <f>#N/A</f>
        <v>0.003012131566098031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71">
        <v>713361.5</v>
      </c>
      <c r="E10" s="71">
        <v>713361.5</v>
      </c>
      <c r="F10" s="94">
        <v>709899.75</v>
      </c>
      <c r="G10" s="71">
        <v>-3461.75</v>
      </c>
      <c r="H10" s="209">
        <v>0.9951472710540168</v>
      </c>
      <c r="I10" s="72">
        <v>-3461.75</v>
      </c>
      <c r="J10" s="75">
        <v>0.9951472710540168</v>
      </c>
      <c r="K10" s="72"/>
      <c r="L10" s="72"/>
      <c r="M10" s="72"/>
      <c r="N10" s="72">
        <v>476189.93</v>
      </c>
      <c r="O10" s="72">
        <v>237171.57</v>
      </c>
      <c r="P10" s="75">
        <v>1.4980608682758159</v>
      </c>
      <c r="Q10" s="74">
        <v>476189.93</v>
      </c>
      <c r="R10" s="74">
        <v>233709.82</v>
      </c>
      <c r="S10" s="145">
        <v>1.490791184937489</v>
      </c>
      <c r="T10" s="73">
        <v>87047.5</v>
      </c>
      <c r="U10" s="98">
        <v>78262.39000000001</v>
      </c>
      <c r="V10" s="74">
        <v>-8785.109999999986</v>
      </c>
      <c r="W10" s="75">
        <v>0.8990768258709327</v>
      </c>
      <c r="X10" s="198">
        <f>#N/A</f>
        <v>-0.007269683338326782</v>
      </c>
      <c r="Y10" s="260">
        <f>#N/A</f>
        <v>-0.007269683338326782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71">
        <v>42006</v>
      </c>
      <c r="E11" s="71">
        <v>42006</v>
      </c>
      <c r="F11" s="94">
        <v>42516.41</v>
      </c>
      <c r="G11" s="71">
        <v>510.4100000000035</v>
      </c>
      <c r="H11" s="209">
        <v>1.012150883207161</v>
      </c>
      <c r="I11" s="72">
        <v>510.4100000000035</v>
      </c>
      <c r="J11" s="75">
        <v>1.012150883207161</v>
      </c>
      <c r="K11" s="72"/>
      <c r="L11" s="72"/>
      <c r="M11" s="72"/>
      <c r="N11" s="72">
        <v>42401.33</v>
      </c>
      <c r="O11" s="72">
        <v>-395.33000000000175</v>
      </c>
      <c r="P11" s="75">
        <v>0.9906764717050148</v>
      </c>
      <c r="Q11" s="74">
        <v>42401.33</v>
      </c>
      <c r="R11" s="74">
        <v>115.08000000000175</v>
      </c>
      <c r="S11" s="145">
        <v>1.0027140658087847</v>
      </c>
      <c r="T11" s="73">
        <v>0</v>
      </c>
      <c r="U11" s="98">
        <v>5033.6700000000055</v>
      </c>
      <c r="V11" s="74">
        <v>5033.6700000000055</v>
      </c>
      <c r="W11" s="75" t="e">
        <v>#DIV/0!</v>
      </c>
      <c r="X11" s="198">
        <f>#N/A</f>
        <v>0.012037594103769922</v>
      </c>
      <c r="Y11" s="260">
        <f>#N/A</f>
        <v>0.012037594103769922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71">
        <v>8280</v>
      </c>
      <c r="E12" s="71">
        <v>8280</v>
      </c>
      <c r="F12" s="94">
        <v>11992.15</v>
      </c>
      <c r="G12" s="71">
        <v>3712.1499999999996</v>
      </c>
      <c r="H12" s="209">
        <v>1.4483272946859902</v>
      </c>
      <c r="I12" s="72">
        <v>3712.1499999999996</v>
      </c>
      <c r="J12" s="75">
        <v>1.4483272946859902</v>
      </c>
      <c r="K12" s="72"/>
      <c r="L12" s="72"/>
      <c r="M12" s="72"/>
      <c r="N12" s="72">
        <v>10663.92</v>
      </c>
      <c r="O12" s="72">
        <v>-2383.92</v>
      </c>
      <c r="P12" s="75">
        <v>0.7764499358584835</v>
      </c>
      <c r="Q12" s="74">
        <v>10663.92</v>
      </c>
      <c r="R12" s="74">
        <v>1328.2299999999996</v>
      </c>
      <c r="S12" s="145">
        <v>1.1245536350610281</v>
      </c>
      <c r="T12" s="73">
        <v>780</v>
      </c>
      <c r="U12" s="98">
        <v>2521.119999999999</v>
      </c>
      <c r="V12" s="74">
        <v>1741.119999999999</v>
      </c>
      <c r="W12" s="75">
        <v>3.232205128205127</v>
      </c>
      <c r="X12" s="198">
        <f>#N/A</f>
        <v>0.3481036992025446</v>
      </c>
      <c r="Y12" s="260">
        <f>#N/A</f>
        <v>0.3481036992025446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71">
        <v>9390</v>
      </c>
      <c r="E13" s="71">
        <v>9390</v>
      </c>
      <c r="F13" s="94">
        <v>10036.81</v>
      </c>
      <c r="G13" s="71">
        <v>646.8099999999995</v>
      </c>
      <c r="H13" s="209">
        <v>1.0688828541001065</v>
      </c>
      <c r="I13" s="72">
        <v>646.8099999999995</v>
      </c>
      <c r="J13" s="75">
        <v>1.0688828541001065</v>
      </c>
      <c r="K13" s="72"/>
      <c r="L13" s="72"/>
      <c r="M13" s="72"/>
      <c r="N13" s="72">
        <v>9532.64</v>
      </c>
      <c r="O13" s="72">
        <v>-142.63999999999942</v>
      </c>
      <c r="P13" s="75">
        <v>0.9850366739958711</v>
      </c>
      <c r="Q13" s="74">
        <v>9532.64</v>
      </c>
      <c r="R13" s="74">
        <v>504.1700000000001</v>
      </c>
      <c r="S13" s="145">
        <v>1.0528888114939827</v>
      </c>
      <c r="T13" s="73">
        <v>600</v>
      </c>
      <c r="U13" s="98">
        <v>439.21999999999935</v>
      </c>
      <c r="V13" s="74">
        <v>-160.78000000000065</v>
      </c>
      <c r="W13" s="75">
        <v>0.7320333333333322</v>
      </c>
      <c r="X13" s="198">
        <f>#N/A</f>
        <v>0.06785213749811159</v>
      </c>
      <c r="Y13" s="260">
        <f>#N/A</f>
        <v>0.06785213749811159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71">
        <v>1152</v>
      </c>
      <c r="E14" s="71">
        <v>1152</v>
      </c>
      <c r="F14" s="94">
        <v>1376.68</v>
      </c>
      <c r="G14" s="71">
        <v>224.68000000000006</v>
      </c>
      <c r="H14" s="209">
        <v>1.1950347222222222</v>
      </c>
      <c r="I14" s="72">
        <v>224.68000000000006</v>
      </c>
      <c r="J14" s="75">
        <v>1.1950347222222222</v>
      </c>
      <c r="K14" s="72"/>
      <c r="L14" s="72"/>
      <c r="M14" s="72"/>
      <c r="N14" s="72">
        <v>3120.73</v>
      </c>
      <c r="O14" s="72">
        <v>-1968.73</v>
      </c>
      <c r="P14" s="75">
        <v>0.36914439890666606</v>
      </c>
      <c r="Q14" s="74">
        <v>3120.73</v>
      </c>
      <c r="R14" s="74">
        <v>-1744.05</v>
      </c>
      <c r="S14" s="145">
        <v>0.4411403742073169</v>
      </c>
      <c r="T14" s="73">
        <v>96</v>
      </c>
      <c r="U14" s="98">
        <v>124.21000000000004</v>
      </c>
      <c r="V14" s="74">
        <v>28.210000000000036</v>
      </c>
      <c r="W14" s="75">
        <v>1.293854166666667</v>
      </c>
      <c r="X14" s="198">
        <f>#N/A</f>
        <v>0.07199597530065083</v>
      </c>
      <c r="Y14" s="260">
        <f>#N/A</f>
        <v>0.07199597530065083</v>
      </c>
    </row>
    <row r="15" spans="1:25" s="6" customFormat="1" ht="30.75">
      <c r="A15" s="8"/>
      <c r="B15" s="89" t="s">
        <v>11</v>
      </c>
      <c r="C15" s="34">
        <v>11020200</v>
      </c>
      <c r="D15" s="102">
        <v>887.5</v>
      </c>
      <c r="E15" s="102">
        <v>887.5</v>
      </c>
      <c r="F15" s="106">
        <v>887.61</v>
      </c>
      <c r="G15" s="102">
        <v>0.11000000000001364</v>
      </c>
      <c r="H15" s="208">
        <v>1.0001239436619718</v>
      </c>
      <c r="I15" s="108">
        <v>0.11000000000001364</v>
      </c>
      <c r="J15" s="108">
        <v>100.01239436619717</v>
      </c>
      <c r="K15" s="108"/>
      <c r="L15" s="108"/>
      <c r="M15" s="108"/>
      <c r="N15" s="108">
        <v>459.29</v>
      </c>
      <c r="O15" s="108">
        <v>428.21</v>
      </c>
      <c r="P15" s="148">
        <v>1.9323303359533193</v>
      </c>
      <c r="Q15" s="111">
        <v>459.29</v>
      </c>
      <c r="R15" s="111">
        <v>428.32</v>
      </c>
      <c r="S15" s="146">
        <v>1.9325698360512966</v>
      </c>
      <c r="T15" s="107">
        <v>436.5</v>
      </c>
      <c r="U15" s="110">
        <v>0</v>
      </c>
      <c r="V15" s="111">
        <v>-436.5</v>
      </c>
      <c r="W15" s="148">
        <v>0</v>
      </c>
      <c r="X15" s="197">
        <f>#N/A</f>
        <v>0.00023950009797735206</v>
      </c>
      <c r="Y15" s="260">
        <f>#N/A</f>
        <v>0.00023950009797735206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71">
        <v>0</v>
      </c>
      <c r="E16" s="102">
        <v>0</v>
      </c>
      <c r="F16" s="94">
        <v>0</v>
      </c>
      <c r="G16" s="102">
        <v>0</v>
      </c>
      <c r="H16" s="208" t="e">
        <v>#DIV/0!</v>
      </c>
      <c r="I16" s="108">
        <v>0</v>
      </c>
      <c r="J16" s="108" t="e">
        <v>#DIV/0!</v>
      </c>
      <c r="K16" s="108"/>
      <c r="L16" s="108"/>
      <c r="M16" s="108"/>
      <c r="N16" s="108"/>
      <c r="O16" s="108">
        <v>0</v>
      </c>
      <c r="P16" s="148" t="e">
        <v>#DIV/0!</v>
      </c>
      <c r="Q16" s="111">
        <v>0</v>
      </c>
      <c r="R16" s="111">
        <v>0</v>
      </c>
      <c r="S16" s="146" t="e">
        <v>#DIV/0!</v>
      </c>
      <c r="T16" s="107">
        <v>0</v>
      </c>
      <c r="U16" s="110">
        <v>0</v>
      </c>
      <c r="V16" s="111">
        <v>0</v>
      </c>
      <c r="W16" s="148" t="e">
        <v>#DIV/0!</v>
      </c>
      <c r="X16" s="197" t="e">
        <f>#N/A</f>
        <v>#DIV/0!</v>
      </c>
      <c r="Y16" s="260" t="e">
        <f>#N/A</f>
        <v>#DIV/0!</v>
      </c>
    </row>
    <row r="17" spans="1:25" s="6" customFormat="1" ht="30.75" customHeight="1">
      <c r="A17" s="8"/>
      <c r="B17" s="159" t="s">
        <v>98</v>
      </c>
      <c r="C17" s="81">
        <v>13010200</v>
      </c>
      <c r="D17" s="112">
        <v>0</v>
      </c>
      <c r="E17" s="102">
        <v>0</v>
      </c>
      <c r="F17" s="113">
        <v>0.49</v>
      </c>
      <c r="G17" s="102">
        <v>0.49</v>
      </c>
      <c r="H17" s="208"/>
      <c r="I17" s="108">
        <v>0.49</v>
      </c>
      <c r="J17" s="108"/>
      <c r="K17" s="108"/>
      <c r="L17" s="108"/>
      <c r="M17" s="108"/>
      <c r="N17" s="108">
        <v>0.17</v>
      </c>
      <c r="O17" s="108">
        <v>-0.17</v>
      </c>
      <c r="P17" s="148">
        <v>0</v>
      </c>
      <c r="Q17" s="111">
        <v>0.17</v>
      </c>
      <c r="R17" s="111">
        <v>0.31999999999999995</v>
      </c>
      <c r="S17" s="146">
        <v>2.88235294117647</v>
      </c>
      <c r="T17" s="107">
        <v>0</v>
      </c>
      <c r="U17" s="110">
        <v>0</v>
      </c>
      <c r="V17" s="111">
        <v>0</v>
      </c>
      <c r="W17" s="148"/>
      <c r="X17" s="197">
        <f>#N/A</f>
        <v>2.88235294117647</v>
      </c>
      <c r="Y17" s="260">
        <f>#N/A</f>
        <v>2.88235294117647</v>
      </c>
    </row>
    <row r="18" spans="1:25" s="6" customFormat="1" ht="30.75">
      <c r="A18" s="8"/>
      <c r="B18" s="88" t="s">
        <v>99</v>
      </c>
      <c r="C18" s="81">
        <v>13030200</v>
      </c>
      <c r="D18" s="102">
        <v>220</v>
      </c>
      <c r="E18" s="102">
        <v>220</v>
      </c>
      <c r="F18" s="106">
        <v>220.59</v>
      </c>
      <c r="G18" s="102">
        <v>0.5900000000000034</v>
      </c>
      <c r="H18" s="208">
        <v>1.0026818181818182</v>
      </c>
      <c r="I18" s="108">
        <v>0.5900000000000034</v>
      </c>
      <c r="J18" s="108">
        <v>100.26818181818183</v>
      </c>
      <c r="K18" s="108"/>
      <c r="L18" s="108"/>
      <c r="M18" s="108"/>
      <c r="N18" s="108">
        <v>124.7</v>
      </c>
      <c r="O18" s="108">
        <v>95.3</v>
      </c>
      <c r="P18" s="148">
        <v>1.764234161988773</v>
      </c>
      <c r="Q18" s="111">
        <v>124.7</v>
      </c>
      <c r="R18" s="111">
        <v>95.89</v>
      </c>
      <c r="S18" s="146">
        <v>1.7689655172413794</v>
      </c>
      <c r="T18" s="107">
        <v>95</v>
      </c>
      <c r="U18" s="110">
        <v>0</v>
      </c>
      <c r="V18" s="111">
        <v>-95</v>
      </c>
      <c r="W18" s="148">
        <v>0</v>
      </c>
      <c r="X18" s="197">
        <f>#N/A</f>
        <v>0.004731355252606484</v>
      </c>
      <c r="Y18" s="260">
        <f>#N/A</f>
        <v>0.004731355252606484</v>
      </c>
    </row>
    <row r="19" spans="1:25" s="6" customFormat="1" ht="18">
      <c r="A19" s="8"/>
      <c r="B19" s="88" t="s">
        <v>102</v>
      </c>
      <c r="C19" s="34"/>
      <c r="D19" s="102">
        <v>125700</v>
      </c>
      <c r="E19" s="102">
        <v>125700</v>
      </c>
      <c r="F19" s="158">
        <v>121950.14</v>
      </c>
      <c r="G19" s="102">
        <v>-3749.8600000000006</v>
      </c>
      <c r="H19" s="208">
        <v>0.9701681782020685</v>
      </c>
      <c r="I19" s="108">
        <v>-3749.8600000000006</v>
      </c>
      <c r="J19" s="108">
        <v>97.01681782020685</v>
      </c>
      <c r="K19" s="108"/>
      <c r="L19" s="108"/>
      <c r="M19" s="108"/>
      <c r="N19" s="108">
        <v>101799.72</v>
      </c>
      <c r="O19" s="108">
        <v>23900.28</v>
      </c>
      <c r="P19" s="148">
        <v>1.234777463042138</v>
      </c>
      <c r="Q19" s="111">
        <v>101799.72</v>
      </c>
      <c r="R19" s="111">
        <v>20150.42</v>
      </c>
      <c r="S19" s="146">
        <v>1.197941801804563</v>
      </c>
      <c r="T19" s="107">
        <v>8800</v>
      </c>
      <c r="U19" s="110">
        <v>10478.199999999997</v>
      </c>
      <c r="V19" s="111">
        <v>1678.199999999997</v>
      </c>
      <c r="W19" s="148">
        <v>1.190704545454545</v>
      </c>
      <c r="X19" s="197">
        <f>#N/A</f>
        <v>-0.03683566123757509</v>
      </c>
      <c r="Y19" s="260">
        <f>#N/A</f>
        <v>-0.03683566123757509</v>
      </c>
    </row>
    <row r="20" spans="1:25" s="6" customFormat="1" ht="61.5">
      <c r="A20" s="8"/>
      <c r="B20" s="169" t="s">
        <v>105</v>
      </c>
      <c r="C20" s="84">
        <v>14040000</v>
      </c>
      <c r="D20" s="170">
        <v>63400</v>
      </c>
      <c r="E20" s="170">
        <v>63400</v>
      </c>
      <c r="F20" s="141">
        <v>60736.45</v>
      </c>
      <c r="G20" s="170">
        <v>-2663.550000000003</v>
      </c>
      <c r="H20" s="211">
        <v>0.9579881703470031</v>
      </c>
      <c r="I20" s="171">
        <v>-2663.550000000003</v>
      </c>
      <c r="J20" s="171">
        <v>95.7988170347003</v>
      </c>
      <c r="K20" s="171"/>
      <c r="L20" s="171"/>
      <c r="M20" s="171"/>
      <c r="N20" s="171">
        <v>101799.72</v>
      </c>
      <c r="O20" s="171">
        <v>-38399.72</v>
      </c>
      <c r="P20" s="180">
        <v>0.6227914968724865</v>
      </c>
      <c r="Q20" s="116">
        <v>101799.72</v>
      </c>
      <c r="R20" s="116">
        <v>-41063.270000000004</v>
      </c>
      <c r="S20" s="172">
        <v>0.5966268865965446</v>
      </c>
      <c r="T20" s="136">
        <v>0</v>
      </c>
      <c r="U20" s="124">
        <v>4289.43</v>
      </c>
      <c r="V20" s="116">
        <v>4289.43</v>
      </c>
      <c r="W20" s="180" t="e">
        <v>#DIV/0!</v>
      </c>
      <c r="X20" s="197">
        <f>#N/A</f>
        <v>-0.026164610275941858</v>
      </c>
      <c r="Y20" s="260">
        <f>#N/A</f>
        <v>-0.026164610275941858</v>
      </c>
    </row>
    <row r="21" spans="1:25" s="6" customFormat="1" ht="18">
      <c r="A21" s="8"/>
      <c r="B21" s="169" t="s">
        <v>100</v>
      </c>
      <c r="C21" s="84">
        <v>14021900</v>
      </c>
      <c r="D21" s="170">
        <v>12200</v>
      </c>
      <c r="E21" s="170">
        <v>12200</v>
      </c>
      <c r="F21" s="141">
        <v>12528.71</v>
      </c>
      <c r="G21" s="170">
        <v>328.7099999999991</v>
      </c>
      <c r="H21" s="211">
        <v>1.0269434426229507</v>
      </c>
      <c r="I21" s="171">
        <v>328.7099999999991</v>
      </c>
      <c r="J21" s="171">
        <v>102.69434426229506</v>
      </c>
      <c r="K21" s="171"/>
      <c r="L21" s="171"/>
      <c r="M21" s="171"/>
      <c r="N21" s="171"/>
      <c r="O21" s="171"/>
      <c r="P21" s="180"/>
      <c r="Q21" s="116">
        <v>0</v>
      </c>
      <c r="R21" s="116">
        <v>12528.71</v>
      </c>
      <c r="S21" s="172"/>
      <c r="T21" s="136">
        <v>1000</v>
      </c>
      <c r="U21" s="124">
        <v>1346.3099999999995</v>
      </c>
      <c r="V21" s="116">
        <v>346.3099999999995</v>
      </c>
      <c r="W21" s="180">
        <v>1.3463099999999995</v>
      </c>
      <c r="X21" s="197">
        <f>#N/A</f>
        <v>0</v>
      </c>
      <c r="Y21" s="260">
        <f>#N/A</f>
        <v>0</v>
      </c>
    </row>
    <row r="22" spans="1:29" s="6" customFormat="1" ht="18">
      <c r="A22" s="8"/>
      <c r="B22" s="169" t="s">
        <v>101</v>
      </c>
      <c r="C22" s="84">
        <v>14031900</v>
      </c>
      <c r="D22" s="170">
        <v>50100</v>
      </c>
      <c r="E22" s="170">
        <v>50100</v>
      </c>
      <c r="F22" s="141">
        <v>48684.98</v>
      </c>
      <c r="G22" s="170">
        <v>-1415.0199999999968</v>
      </c>
      <c r="H22" s="211">
        <v>0.9717560878243514</v>
      </c>
      <c r="I22" s="171">
        <v>-1415.0199999999968</v>
      </c>
      <c r="J22" s="171">
        <v>97.17560878243515</v>
      </c>
      <c r="K22" s="171"/>
      <c r="L22" s="171"/>
      <c r="M22" s="171"/>
      <c r="N22" s="171"/>
      <c r="O22" s="171"/>
      <c r="P22" s="180"/>
      <c r="Q22" s="116">
        <v>0</v>
      </c>
      <c r="R22" s="116">
        <v>48684.98</v>
      </c>
      <c r="S22" s="172"/>
      <c r="T22" s="136">
        <v>7800</v>
      </c>
      <c r="U22" s="124">
        <v>4842.460000000006</v>
      </c>
      <c r="V22" s="116">
        <v>-2957.5399999999936</v>
      </c>
      <c r="W22" s="180">
        <v>0.6208282051282059</v>
      </c>
      <c r="X22" s="197">
        <f>#N/A</f>
        <v>0</v>
      </c>
      <c r="Y22" s="260">
        <f>#N/A</f>
        <v>0</v>
      </c>
      <c r="AC22" s="464"/>
    </row>
    <row r="23" spans="1:25" s="6" customFormat="1" ht="18">
      <c r="A23" s="8"/>
      <c r="B23" s="196" t="s">
        <v>60</v>
      </c>
      <c r="C23" s="34">
        <v>18000000</v>
      </c>
      <c r="D23" s="102">
        <v>429949.1</v>
      </c>
      <c r="E23" s="102">
        <v>429949.1</v>
      </c>
      <c r="F23" s="158">
        <v>430705.5</v>
      </c>
      <c r="G23" s="102">
        <v>756.4000000000233</v>
      </c>
      <c r="H23" s="208">
        <v>1.001759278016863</v>
      </c>
      <c r="I23" s="108">
        <v>756.4000000000233</v>
      </c>
      <c r="J23" s="108">
        <v>100.1759278016863</v>
      </c>
      <c r="K23" s="108"/>
      <c r="L23" s="108"/>
      <c r="M23" s="108"/>
      <c r="N23" s="108">
        <v>340503.51</v>
      </c>
      <c r="O23" s="108">
        <v>89445.58999999997</v>
      </c>
      <c r="P23" s="148">
        <v>1.2626862495484994</v>
      </c>
      <c r="Q23" s="108">
        <v>340503.51</v>
      </c>
      <c r="R23" s="111">
        <v>90201.98999999999</v>
      </c>
      <c r="S23" s="147">
        <v>1.2649076657095253</v>
      </c>
      <c r="T23" s="107">
        <v>50525.5</v>
      </c>
      <c r="U23" s="110">
        <v>26534.830000000016</v>
      </c>
      <c r="V23" s="111">
        <v>-23990.669999999984</v>
      </c>
      <c r="W23" s="148">
        <v>0.5251769898368154</v>
      </c>
      <c r="X23" s="197">
        <f>S23-P23</f>
        <v>0.002221416161025891</v>
      </c>
      <c r="Y23" s="260">
        <f>#N/A</f>
        <v>0.002221416161025891</v>
      </c>
    </row>
    <row r="24" spans="1:25" s="6" customFormat="1" ht="18">
      <c r="A24" s="8"/>
      <c r="B24" s="35" t="s">
        <v>68</v>
      </c>
      <c r="C24" s="79">
        <v>18010000</v>
      </c>
      <c r="D24" s="102">
        <v>208931</v>
      </c>
      <c r="E24" s="102">
        <v>208931</v>
      </c>
      <c r="F24" s="158">
        <v>207231.02999999997</v>
      </c>
      <c r="G24" s="102">
        <v>-1699.9700000000303</v>
      </c>
      <c r="H24" s="208">
        <v>0.9918634860312734</v>
      </c>
      <c r="I24" s="108">
        <v>-1699.9700000000303</v>
      </c>
      <c r="J24" s="148">
        <v>0.9918634860312734</v>
      </c>
      <c r="K24" s="108"/>
      <c r="L24" s="108"/>
      <c r="M24" s="108"/>
      <c r="N24" s="108">
        <v>182295.05</v>
      </c>
      <c r="O24" s="108">
        <v>26635.95000000001</v>
      </c>
      <c r="P24" s="148">
        <v>1.14611449954346</v>
      </c>
      <c r="Q24" s="108">
        <v>182295.05</v>
      </c>
      <c r="R24" s="111">
        <v>24935.97999999998</v>
      </c>
      <c r="S24" s="147">
        <v>1.1367891229081644</v>
      </c>
      <c r="T24" s="107">
        <v>17369.899999999994</v>
      </c>
      <c r="U24" s="110">
        <v>15975.219999999972</v>
      </c>
      <c r="V24" s="111">
        <v>-1394.6800000000221</v>
      </c>
      <c r="W24" s="148">
        <v>0.9197070794880786</v>
      </c>
      <c r="X24" s="197">
        <f>#N/A</f>
        <v>-0.009325376635295646</v>
      </c>
      <c r="Y24" s="260">
        <f>#N/A</f>
        <v>-0.009325376635295646</v>
      </c>
    </row>
    <row r="25" spans="1:25" s="6" customFormat="1" ht="18">
      <c r="A25" s="8"/>
      <c r="B25" s="41" t="s">
        <v>61</v>
      </c>
      <c r="C25" s="84"/>
      <c r="D25" s="170">
        <v>24989</v>
      </c>
      <c r="E25" s="202">
        <v>24989</v>
      </c>
      <c r="F25" s="141">
        <v>25414.16</v>
      </c>
      <c r="G25" s="170">
        <v>425.15999999999985</v>
      </c>
      <c r="H25" s="211">
        <v>1.0170138861098883</v>
      </c>
      <c r="I25" s="171">
        <v>425.15999999999985</v>
      </c>
      <c r="J25" s="180">
        <v>1.0170138861098883</v>
      </c>
      <c r="K25" s="171"/>
      <c r="L25" s="171"/>
      <c r="M25" s="171"/>
      <c r="N25" s="171">
        <v>21482.16</v>
      </c>
      <c r="O25" s="171">
        <v>3506.84</v>
      </c>
      <c r="P25" s="180">
        <v>1.16324429200788</v>
      </c>
      <c r="Q25" s="179">
        <v>21482.16</v>
      </c>
      <c r="R25" s="116">
        <v>3932</v>
      </c>
      <c r="S25" s="152">
        <v>1.1830355979100797</v>
      </c>
      <c r="T25" s="136">
        <v>2724.9000000000015</v>
      </c>
      <c r="U25" s="124">
        <v>903.9300000000003</v>
      </c>
      <c r="V25" s="116">
        <v>-1820.9700000000012</v>
      </c>
      <c r="W25" s="180">
        <v>0.3317296047561378</v>
      </c>
      <c r="X25" s="197">
        <f>#N/A</f>
        <v>0.019791305902199685</v>
      </c>
      <c r="Y25" s="260">
        <f>#N/A</f>
        <v>0.019791305902199685</v>
      </c>
    </row>
    <row r="26" spans="1:25" s="6" customFormat="1" ht="18" customHeight="1" hidden="1">
      <c r="A26" s="8"/>
      <c r="B26" s="137" t="s">
        <v>92</v>
      </c>
      <c r="C26" s="138"/>
      <c r="D26" s="139">
        <v>1822.3</v>
      </c>
      <c r="E26" s="139">
        <v>1822.3</v>
      </c>
      <c r="F26" s="139">
        <v>1512.89</v>
      </c>
      <c r="G26" s="158">
        <v>-309.40999999999985</v>
      </c>
      <c r="H26" s="212">
        <v>0.8302090764418593</v>
      </c>
      <c r="I26" s="176">
        <v>-309.40999999999985</v>
      </c>
      <c r="J26" s="191">
        <v>0.8302090764418593</v>
      </c>
      <c r="K26" s="176"/>
      <c r="L26" s="176"/>
      <c r="M26" s="176"/>
      <c r="N26" s="176">
        <v>842.7</v>
      </c>
      <c r="O26" s="176">
        <v>979.5999999999999</v>
      </c>
      <c r="P26" s="191">
        <v>2.162454016850599</v>
      </c>
      <c r="Q26" s="140">
        <v>842.7</v>
      </c>
      <c r="R26" s="201">
        <v>670.19</v>
      </c>
      <c r="S26" s="162">
        <v>1.7952889521775246</v>
      </c>
      <c r="T26" s="167">
        <v>55</v>
      </c>
      <c r="U26" s="167">
        <v>105.1099999999999</v>
      </c>
      <c r="V26" s="176">
        <v>50.1099999999999</v>
      </c>
      <c r="W26" s="191">
        <v>191.10909090909072</v>
      </c>
      <c r="X26" s="197">
        <f>#N/A</f>
        <v>-0.3671650646730744</v>
      </c>
      <c r="Y26" s="260">
        <f>#N/A</f>
        <v>-0.3671650646730744</v>
      </c>
    </row>
    <row r="27" spans="1:25" s="6" customFormat="1" ht="18" customHeight="1" hidden="1">
      <c r="A27" s="8"/>
      <c r="B27" s="137" t="s">
        <v>93</v>
      </c>
      <c r="C27" s="138"/>
      <c r="D27" s="139">
        <v>23166.699999999997</v>
      </c>
      <c r="E27" s="139">
        <v>23166.699999999997</v>
      </c>
      <c r="F27" s="139">
        <v>23901.28</v>
      </c>
      <c r="G27" s="158">
        <v>734.5800000000017</v>
      </c>
      <c r="H27" s="212">
        <v>1.0317084435849733</v>
      </c>
      <c r="I27" s="176">
        <v>734.5800000000017</v>
      </c>
      <c r="J27" s="191">
        <v>1.0317084435849733</v>
      </c>
      <c r="K27" s="176"/>
      <c r="L27" s="176"/>
      <c r="M27" s="176"/>
      <c r="N27" s="176">
        <v>20639.46</v>
      </c>
      <c r="O27" s="176">
        <v>2527.239999999998</v>
      </c>
      <c r="P27" s="191">
        <v>1.1224470020048973</v>
      </c>
      <c r="Q27" s="140">
        <v>20639.46</v>
      </c>
      <c r="R27" s="201">
        <v>3261.8199999999997</v>
      </c>
      <c r="S27" s="162">
        <v>1.1580380494450921</v>
      </c>
      <c r="T27" s="167">
        <v>2669.899999999998</v>
      </c>
      <c r="U27" s="167">
        <v>798.8199999999997</v>
      </c>
      <c r="V27" s="176">
        <v>-1871.079999999998</v>
      </c>
      <c r="W27" s="191">
        <v>29.91947263942471</v>
      </c>
      <c r="X27" s="197">
        <f>#N/A</f>
        <v>0.03559104744019481</v>
      </c>
      <c r="Y27" s="260">
        <f>#N/A</f>
        <v>0.03559104744019481</v>
      </c>
    </row>
    <row r="28" spans="1:25" s="6" customFormat="1" ht="18" customHeight="1" hidden="1">
      <c r="A28" s="8"/>
      <c r="B28" s="205" t="s">
        <v>112</v>
      </c>
      <c r="C28" s="138">
        <v>18010100</v>
      </c>
      <c r="D28" s="218">
        <v>922.3</v>
      </c>
      <c r="E28" s="219">
        <v>922.3</v>
      </c>
      <c r="F28" s="206">
        <v>275.91</v>
      </c>
      <c r="G28" s="218">
        <v>-646.3899999999999</v>
      </c>
      <c r="H28" s="220">
        <v>0.2991542881925621</v>
      </c>
      <c r="I28" s="221">
        <v>-646.3899999999999</v>
      </c>
      <c r="J28" s="222">
        <v>0.2991542881925621</v>
      </c>
      <c r="K28" s="176"/>
      <c r="L28" s="176"/>
      <c r="M28" s="176"/>
      <c r="N28" s="221">
        <v>395.2</v>
      </c>
      <c r="O28" s="221">
        <v>527.0999999999999</v>
      </c>
      <c r="P28" s="222">
        <v>2.3337550607287447</v>
      </c>
      <c r="Q28" s="221">
        <v>395.2</v>
      </c>
      <c r="R28" s="221">
        <v>-119.28999999999996</v>
      </c>
      <c r="S28" s="222">
        <v>0.6981528340080972</v>
      </c>
      <c r="T28" s="206">
        <v>5</v>
      </c>
      <c r="U28" s="206">
        <v>15.050000000000011</v>
      </c>
      <c r="V28" s="221">
        <v>10.050000000000011</v>
      </c>
      <c r="W28" s="222">
        <v>301.0000000000002</v>
      </c>
      <c r="X28" s="197"/>
      <c r="Y28" s="260">
        <f>#N/A</f>
        <v>-1.6356022267206476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18">
        <v>900</v>
      </c>
      <c r="E29" s="219">
        <v>900</v>
      </c>
      <c r="F29" s="206">
        <v>1236.98</v>
      </c>
      <c r="G29" s="218">
        <v>336.98</v>
      </c>
      <c r="H29" s="220">
        <v>1.3744222222222222</v>
      </c>
      <c r="I29" s="221">
        <v>336.98</v>
      </c>
      <c r="J29" s="222">
        <v>1.3744222222222222</v>
      </c>
      <c r="K29" s="176"/>
      <c r="L29" s="176"/>
      <c r="M29" s="176"/>
      <c r="N29" s="221">
        <v>447.5</v>
      </c>
      <c r="O29" s="221">
        <v>452.5</v>
      </c>
      <c r="P29" s="222">
        <v>2.011173184357542</v>
      </c>
      <c r="Q29" s="221">
        <v>447.5</v>
      </c>
      <c r="R29" s="221">
        <v>789.48</v>
      </c>
      <c r="S29" s="222">
        <v>2.7642011173184358</v>
      </c>
      <c r="T29" s="206">
        <v>50</v>
      </c>
      <c r="U29" s="206">
        <v>90.05999999999995</v>
      </c>
      <c r="V29" s="221">
        <v>40.059999999999945</v>
      </c>
      <c r="W29" s="222">
        <v>180.1199999999999</v>
      </c>
      <c r="X29" s="197"/>
      <c r="Y29" s="260">
        <f>#N/A</f>
        <v>0.7530279329608938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18">
        <v>2019.1</v>
      </c>
      <c r="E30" s="219">
        <v>2019.1</v>
      </c>
      <c r="F30" s="206">
        <v>2220.25</v>
      </c>
      <c r="G30" s="218">
        <v>201.1500000000001</v>
      </c>
      <c r="H30" s="220">
        <v>1.099623594670893</v>
      </c>
      <c r="I30" s="221">
        <v>201.1500000000001</v>
      </c>
      <c r="J30" s="222">
        <v>1.099623594670893</v>
      </c>
      <c r="K30" s="176"/>
      <c r="L30" s="176"/>
      <c r="M30" s="176"/>
      <c r="N30" s="221">
        <v>1968.01</v>
      </c>
      <c r="O30" s="221">
        <v>51.08999999999992</v>
      </c>
      <c r="P30" s="222">
        <v>1.0259602339419007</v>
      </c>
      <c r="Q30" s="221">
        <v>1968.01</v>
      </c>
      <c r="R30" s="221">
        <v>252.24</v>
      </c>
      <c r="S30" s="222">
        <v>1.128170080436583</v>
      </c>
      <c r="T30" s="206">
        <v>0</v>
      </c>
      <c r="U30" s="206">
        <v>123.38000000000011</v>
      </c>
      <c r="V30" s="221">
        <v>123.38000000000011</v>
      </c>
      <c r="W30" s="222" t="e">
        <v>#DIV/0!</v>
      </c>
      <c r="X30" s="197"/>
      <c r="Y30" s="260">
        <f>#N/A</f>
        <v>0.10220984649468234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18">
        <v>21147.6</v>
      </c>
      <c r="E31" s="219">
        <v>21147.6</v>
      </c>
      <c r="F31" s="206">
        <v>21681.03</v>
      </c>
      <c r="G31" s="218">
        <v>533.4300000000003</v>
      </c>
      <c r="H31" s="220">
        <v>1.02522413890938</v>
      </c>
      <c r="I31" s="221">
        <v>533.4300000000003</v>
      </c>
      <c r="J31" s="222">
        <v>1.02522413890938</v>
      </c>
      <c r="K31" s="176"/>
      <c r="L31" s="176"/>
      <c r="M31" s="176"/>
      <c r="N31" s="221">
        <v>18671.45</v>
      </c>
      <c r="O31" s="221">
        <v>2476.149999999998</v>
      </c>
      <c r="P31" s="222">
        <v>1.132616909774013</v>
      </c>
      <c r="Q31" s="221">
        <v>18671.45</v>
      </c>
      <c r="R31" s="221">
        <v>3009.579999999998</v>
      </c>
      <c r="S31" s="222">
        <v>1.1611861960372654</v>
      </c>
      <c r="T31" s="206">
        <v>2669.899999999998</v>
      </c>
      <c r="U31" s="206">
        <v>675.4399999999987</v>
      </c>
      <c r="V31" s="221"/>
      <c r="W31" s="222">
        <v>25.298325779991732</v>
      </c>
      <c r="X31" s="197"/>
      <c r="Y31" s="260">
        <f>#N/A</f>
        <v>0.02856928626325228</v>
      </c>
    </row>
    <row r="32" spans="1:25" s="6" customFormat="1" ht="18">
      <c r="A32" s="8"/>
      <c r="B32" s="41" t="s">
        <v>62</v>
      </c>
      <c r="C32" s="84"/>
      <c r="D32" s="119">
        <v>650</v>
      </c>
      <c r="E32" s="261">
        <v>650</v>
      </c>
      <c r="F32" s="120">
        <v>645.26</v>
      </c>
      <c r="G32" s="170">
        <v>-4.740000000000009</v>
      </c>
      <c r="H32" s="211">
        <v>0.9927076923076923</v>
      </c>
      <c r="I32" s="171">
        <v>-4.740000000000009</v>
      </c>
      <c r="J32" s="180">
        <v>0.9927076923076923</v>
      </c>
      <c r="K32" s="171"/>
      <c r="L32" s="171"/>
      <c r="M32" s="171"/>
      <c r="N32" s="171">
        <v>701.85</v>
      </c>
      <c r="O32" s="171">
        <v>-51.85000000000002</v>
      </c>
      <c r="P32" s="180">
        <v>0.9261238156301204</v>
      </c>
      <c r="Q32" s="121">
        <v>701.85</v>
      </c>
      <c r="R32" s="121">
        <v>-56.59000000000003</v>
      </c>
      <c r="S32" s="150">
        <v>0.9193702358053715</v>
      </c>
      <c r="T32" s="136">
        <v>5</v>
      </c>
      <c r="U32" s="124">
        <v>188.88</v>
      </c>
      <c r="V32" s="116">
        <v>183.88</v>
      </c>
      <c r="W32" s="180">
        <v>37.775999999999996</v>
      </c>
      <c r="X32" s="198">
        <f>#N/A</f>
        <v>-0.00675357982474889</v>
      </c>
      <c r="Y32" s="260">
        <f>#N/A</f>
        <v>-0.00675357982474889</v>
      </c>
    </row>
    <row r="33" spans="1:25" s="6" customFormat="1" ht="15" hidden="1">
      <c r="A33" s="8"/>
      <c r="B33" s="41" t="s">
        <v>114</v>
      </c>
      <c r="C33" s="84">
        <v>18011000</v>
      </c>
      <c r="D33" s="71">
        <v>350</v>
      </c>
      <c r="E33" s="223">
        <v>350</v>
      </c>
      <c r="F33" s="94">
        <v>241.36</v>
      </c>
      <c r="G33" s="71">
        <v>-108.63999999999999</v>
      </c>
      <c r="H33" s="209">
        <v>0.6896</v>
      </c>
      <c r="I33" s="72">
        <v>-108.63999999999999</v>
      </c>
      <c r="J33" s="75">
        <v>0.6896</v>
      </c>
      <c r="K33" s="72"/>
      <c r="L33" s="72"/>
      <c r="M33" s="72"/>
      <c r="N33" s="72">
        <v>350.41</v>
      </c>
      <c r="O33" s="72">
        <v>-0.410000000000025</v>
      </c>
      <c r="P33" s="75">
        <v>0.9988299420678632</v>
      </c>
      <c r="Q33" s="72">
        <v>350.41</v>
      </c>
      <c r="R33" s="72">
        <v>-109.05000000000001</v>
      </c>
      <c r="S33" s="75">
        <v>0.6887931280499986</v>
      </c>
      <c r="T33" s="73">
        <v>0</v>
      </c>
      <c r="U33" s="98">
        <v>174.83</v>
      </c>
      <c r="V33" s="74">
        <v>174.83</v>
      </c>
      <c r="W33" s="75" t="e">
        <v>#DIV/0!</v>
      </c>
      <c r="X33" s="198"/>
      <c r="Y33" s="260">
        <f>#N/A</f>
        <v>-0.31003681401786465</v>
      </c>
    </row>
    <row r="34" spans="1:25" s="6" customFormat="1" ht="15" hidden="1">
      <c r="A34" s="8"/>
      <c r="B34" s="41" t="s">
        <v>155</v>
      </c>
      <c r="C34" s="84">
        <v>18011100</v>
      </c>
      <c r="D34" s="71">
        <v>300</v>
      </c>
      <c r="E34" s="223">
        <v>300</v>
      </c>
      <c r="F34" s="94">
        <v>403.91</v>
      </c>
      <c r="G34" s="71">
        <v>103.91000000000003</v>
      </c>
      <c r="H34" s="209">
        <v>1.3463666666666667</v>
      </c>
      <c r="I34" s="72">
        <v>103.91000000000003</v>
      </c>
      <c r="J34" s="75">
        <v>1.3463666666666667</v>
      </c>
      <c r="K34" s="72"/>
      <c r="L34" s="72"/>
      <c r="M34" s="72"/>
      <c r="N34" s="72">
        <v>351.44</v>
      </c>
      <c r="O34" s="72">
        <v>-51.44</v>
      </c>
      <c r="P34" s="75">
        <v>0.8536307762349192</v>
      </c>
      <c r="Q34" s="72">
        <v>351.44</v>
      </c>
      <c r="R34" s="72">
        <v>52.47000000000003</v>
      </c>
      <c r="S34" s="75">
        <v>1.1493000227634875</v>
      </c>
      <c r="T34" s="73">
        <v>5</v>
      </c>
      <c r="U34" s="98">
        <v>14.060000000000002</v>
      </c>
      <c r="V34" s="74"/>
      <c r="W34" s="75">
        <v>2.8120000000000003</v>
      </c>
      <c r="X34" s="198"/>
      <c r="Y34" s="260">
        <f>#N/A</f>
        <v>0.2956692465285683</v>
      </c>
    </row>
    <row r="35" spans="1:25" s="6" customFormat="1" ht="18">
      <c r="A35" s="8"/>
      <c r="B35" s="41" t="s">
        <v>63</v>
      </c>
      <c r="C35" s="84"/>
      <c r="D35" s="119">
        <v>183292</v>
      </c>
      <c r="E35" s="261">
        <v>183292</v>
      </c>
      <c r="F35" s="120">
        <v>181171.61</v>
      </c>
      <c r="G35" s="102">
        <v>-2120.390000000014</v>
      </c>
      <c r="H35" s="211">
        <v>0.9884316282216353</v>
      </c>
      <c r="I35" s="171">
        <v>-2120.390000000014</v>
      </c>
      <c r="J35" s="180">
        <v>0.9884316282216353</v>
      </c>
      <c r="K35" s="171"/>
      <c r="L35" s="171"/>
      <c r="M35" s="171"/>
      <c r="N35" s="171">
        <v>160111.04</v>
      </c>
      <c r="O35" s="171">
        <v>23180.959999999992</v>
      </c>
      <c r="P35" s="180">
        <v>1.1447805223175116</v>
      </c>
      <c r="Q35" s="122">
        <v>160111.04</v>
      </c>
      <c r="R35" s="122">
        <v>21060.569999999978</v>
      </c>
      <c r="S35" s="149">
        <v>1.131537275630712</v>
      </c>
      <c r="T35" s="136">
        <v>14640</v>
      </c>
      <c r="U35" s="124">
        <v>14882.409999999974</v>
      </c>
      <c r="V35" s="116">
        <v>242.4099999999744</v>
      </c>
      <c r="W35" s="180">
        <v>1.0165580601092878</v>
      </c>
      <c r="X35" s="198">
        <f>#N/A</f>
        <v>-0.013243246686799548</v>
      </c>
      <c r="Y35" s="260">
        <f>#N/A</f>
        <v>-0.013243246686799548</v>
      </c>
    </row>
    <row r="36" spans="1:25" s="6" customFormat="1" ht="18" customHeight="1">
      <c r="A36" s="8"/>
      <c r="B36" s="137" t="s">
        <v>94</v>
      </c>
      <c r="C36" s="138"/>
      <c r="D36" s="139">
        <v>58533</v>
      </c>
      <c r="E36" s="139">
        <v>58533</v>
      </c>
      <c r="F36" s="139">
        <v>58608.68</v>
      </c>
      <c r="G36" s="158">
        <v>75.68000000000029</v>
      </c>
      <c r="H36" s="212">
        <v>1.0012929458596005</v>
      </c>
      <c r="I36" s="176">
        <v>75.68000000000029</v>
      </c>
      <c r="J36" s="191">
        <v>1.0012929458596005</v>
      </c>
      <c r="K36" s="176"/>
      <c r="L36" s="176"/>
      <c r="M36" s="176"/>
      <c r="N36" s="176">
        <v>49911.97</v>
      </c>
      <c r="O36" s="176">
        <v>8621.029999999999</v>
      </c>
      <c r="P36" s="191">
        <v>1.1727246991052447</v>
      </c>
      <c r="Q36" s="140">
        <v>49911.97</v>
      </c>
      <c r="R36" s="140">
        <v>8696.71</v>
      </c>
      <c r="S36" s="162">
        <v>1.1742409686494042</v>
      </c>
      <c r="T36" s="167">
        <v>4800</v>
      </c>
      <c r="U36" s="167">
        <v>4606.639999999999</v>
      </c>
      <c r="V36" s="176">
        <v>-193.36000000000058</v>
      </c>
      <c r="W36" s="191">
        <v>95.97166666666665</v>
      </c>
      <c r="X36" s="197">
        <f>#N/A</f>
        <v>0.0015162695441595098</v>
      </c>
      <c r="Y36" s="260">
        <f>#N/A</f>
        <v>0.0015162695441595098</v>
      </c>
    </row>
    <row r="37" spans="1:25" s="6" customFormat="1" ht="18" customHeight="1">
      <c r="A37" s="8"/>
      <c r="B37" s="137" t="s">
        <v>95</v>
      </c>
      <c r="C37" s="138"/>
      <c r="D37" s="139">
        <v>124759</v>
      </c>
      <c r="E37" s="139">
        <v>124759</v>
      </c>
      <c r="F37" s="139">
        <v>122562.93000000001</v>
      </c>
      <c r="G37" s="158">
        <v>-2196.0699999999924</v>
      </c>
      <c r="H37" s="212">
        <v>0.9823975023845976</v>
      </c>
      <c r="I37" s="176">
        <v>-2196.0699999999924</v>
      </c>
      <c r="J37" s="191">
        <v>0.9823975023845976</v>
      </c>
      <c r="K37" s="176"/>
      <c r="L37" s="176"/>
      <c r="M37" s="176"/>
      <c r="N37" s="176">
        <v>110199.06</v>
      </c>
      <c r="O37" s="176">
        <v>14559.940000000002</v>
      </c>
      <c r="P37" s="191">
        <v>1.1321239945240913</v>
      </c>
      <c r="Q37" s="140">
        <v>110199.06</v>
      </c>
      <c r="R37" s="140">
        <v>12363.87000000001</v>
      </c>
      <c r="S37" s="162">
        <v>1.1121957846101411</v>
      </c>
      <c r="T37" s="167">
        <v>9840</v>
      </c>
      <c r="U37" s="167">
        <v>10275.779999999999</v>
      </c>
      <c r="V37" s="176">
        <v>435.77999999999884</v>
      </c>
      <c r="W37" s="191">
        <v>104.42865853658536</v>
      </c>
      <c r="X37" s="197">
        <f>#N/A</f>
        <v>-0.019928209913950168</v>
      </c>
      <c r="Y37" s="260">
        <f>#N/A</f>
        <v>-0.019928209913950168</v>
      </c>
    </row>
    <row r="38" spans="1:25" s="6" customFormat="1" ht="18" customHeight="1">
      <c r="A38" s="8"/>
      <c r="B38" s="207" t="s">
        <v>156</v>
      </c>
      <c r="C38" s="138">
        <v>18010500</v>
      </c>
      <c r="D38" s="218">
        <v>54968</v>
      </c>
      <c r="E38" s="218">
        <v>54968</v>
      </c>
      <c r="F38" s="206">
        <v>55246.24</v>
      </c>
      <c r="G38" s="218">
        <v>278.23999999999796</v>
      </c>
      <c r="H38" s="220">
        <v>1.0050618541696987</v>
      </c>
      <c r="I38" s="221">
        <v>278.23999999999796</v>
      </c>
      <c r="J38" s="222">
        <v>1.0050618541696987</v>
      </c>
      <c r="K38" s="176"/>
      <c r="L38" s="176"/>
      <c r="M38" s="176"/>
      <c r="N38" s="221">
        <v>46607.08</v>
      </c>
      <c r="O38" s="221">
        <v>8360.919999999998</v>
      </c>
      <c r="P38" s="222">
        <v>1.1793916289113155</v>
      </c>
      <c r="Q38" s="221">
        <v>46607.08</v>
      </c>
      <c r="R38" s="221">
        <v>8639.159999999996</v>
      </c>
      <c r="S38" s="222">
        <v>1.1853615373458282</v>
      </c>
      <c r="T38" s="206">
        <v>4600</v>
      </c>
      <c r="U38" s="206">
        <v>4476.8299999999945</v>
      </c>
      <c r="V38" s="221">
        <v>-123.17000000000553</v>
      </c>
      <c r="W38" s="222">
        <v>97.3223913043477</v>
      </c>
      <c r="X38" s="197"/>
      <c r="Y38" s="260">
        <f>#N/A</f>
        <v>0.005969908434512616</v>
      </c>
    </row>
    <row r="39" spans="1:25" s="6" customFormat="1" ht="18" customHeight="1">
      <c r="A39" s="8"/>
      <c r="B39" s="207" t="s">
        <v>157</v>
      </c>
      <c r="C39" s="138">
        <v>18010600</v>
      </c>
      <c r="D39" s="218">
        <v>103924</v>
      </c>
      <c r="E39" s="218">
        <v>103924</v>
      </c>
      <c r="F39" s="206">
        <v>102196.35</v>
      </c>
      <c r="G39" s="218">
        <v>-1727.6499999999942</v>
      </c>
      <c r="H39" s="220">
        <v>0.983375832339017</v>
      </c>
      <c r="I39" s="221">
        <v>-1727.6499999999942</v>
      </c>
      <c r="J39" s="222">
        <v>0.983375832339017</v>
      </c>
      <c r="K39" s="176"/>
      <c r="L39" s="176"/>
      <c r="M39" s="176"/>
      <c r="N39" s="221">
        <v>91357.39</v>
      </c>
      <c r="O39" s="221">
        <v>12566.61</v>
      </c>
      <c r="P39" s="222">
        <v>1.1375543894150215</v>
      </c>
      <c r="Q39" s="221">
        <v>91357.39</v>
      </c>
      <c r="R39" s="221">
        <v>10838.960000000006</v>
      </c>
      <c r="S39" s="222">
        <v>1.1186434945218993</v>
      </c>
      <c r="T39" s="206">
        <v>8885</v>
      </c>
      <c r="U39" s="206">
        <v>8513.14</v>
      </c>
      <c r="V39" s="221">
        <v>-371.8600000000006</v>
      </c>
      <c r="W39" s="222">
        <v>95.81474395047833</v>
      </c>
      <c r="X39" s="197"/>
      <c r="Y39" s="260">
        <f>#N/A</f>
        <v>-0.018910894893122254</v>
      </c>
    </row>
    <row r="40" spans="1:25" s="6" customFormat="1" ht="18" customHeight="1">
      <c r="A40" s="8"/>
      <c r="B40" s="207" t="s">
        <v>118</v>
      </c>
      <c r="C40" s="138">
        <v>18010700</v>
      </c>
      <c r="D40" s="218">
        <v>3565</v>
      </c>
      <c r="E40" s="218">
        <v>3565</v>
      </c>
      <c r="F40" s="206">
        <v>3362.44</v>
      </c>
      <c r="G40" s="218">
        <v>-202.55999999999995</v>
      </c>
      <c r="H40" s="220">
        <v>0.9431809256661992</v>
      </c>
      <c r="I40" s="221">
        <v>-202.55999999999995</v>
      </c>
      <c r="J40" s="222">
        <v>0.9431809256661992</v>
      </c>
      <c r="K40" s="176"/>
      <c r="L40" s="176"/>
      <c r="M40" s="176"/>
      <c r="N40" s="221">
        <v>3304.89</v>
      </c>
      <c r="O40" s="221">
        <v>260.1100000000001</v>
      </c>
      <c r="P40" s="222">
        <v>1.0787045862343376</v>
      </c>
      <c r="Q40" s="221">
        <v>3304.89</v>
      </c>
      <c r="R40" s="221">
        <v>57.55000000000018</v>
      </c>
      <c r="S40" s="222">
        <v>1.0174135901648769</v>
      </c>
      <c r="T40" s="206">
        <v>200</v>
      </c>
      <c r="U40" s="206">
        <v>129.80999999999995</v>
      </c>
      <c r="V40" s="221">
        <v>-70.19000000000005</v>
      </c>
      <c r="W40" s="222">
        <v>64.90499999999997</v>
      </c>
      <c r="X40" s="197"/>
      <c r="Y40" s="260">
        <f>#N/A</f>
        <v>-0.06129099606946076</v>
      </c>
    </row>
    <row r="41" spans="1:25" s="6" customFormat="1" ht="18" customHeight="1">
      <c r="A41" s="8"/>
      <c r="B41" s="207" t="s">
        <v>119</v>
      </c>
      <c r="C41" s="138">
        <v>18010900</v>
      </c>
      <c r="D41" s="218">
        <v>20835</v>
      </c>
      <c r="E41" s="218">
        <v>20835</v>
      </c>
      <c r="F41" s="206">
        <v>20366.58</v>
      </c>
      <c r="G41" s="218">
        <v>-468.41999999999825</v>
      </c>
      <c r="H41" s="220">
        <v>0.9775176385889129</v>
      </c>
      <c r="I41" s="221">
        <v>-468.41999999999825</v>
      </c>
      <c r="J41" s="222">
        <v>0.9775176385889129</v>
      </c>
      <c r="K41" s="176"/>
      <c r="L41" s="176"/>
      <c r="M41" s="176"/>
      <c r="N41" s="221">
        <v>18841.68</v>
      </c>
      <c r="O41" s="221">
        <v>1993.3199999999997</v>
      </c>
      <c r="P41" s="222">
        <v>1.1057931139898354</v>
      </c>
      <c r="Q41" s="221">
        <v>18841.68</v>
      </c>
      <c r="R41" s="221">
        <v>1524.9000000000015</v>
      </c>
      <c r="S41" s="222">
        <v>1.0809322735552245</v>
      </c>
      <c r="T41" s="206">
        <v>955</v>
      </c>
      <c r="U41" s="206">
        <v>1762.640000000003</v>
      </c>
      <c r="V41" s="221">
        <v>807.640000000003</v>
      </c>
      <c r="W41" s="222">
        <v>184.56963350785372</v>
      </c>
      <c r="X41" s="197"/>
      <c r="Y41" s="260">
        <f>#N/A</f>
        <v>-0.024860840434610898</v>
      </c>
    </row>
    <row r="42" spans="1:25" s="6" customFormat="1" ht="18">
      <c r="A42" s="8"/>
      <c r="B42" s="159" t="s">
        <v>97</v>
      </c>
      <c r="C42" s="157">
        <v>18020000</v>
      </c>
      <c r="D42" s="112">
        <v>0</v>
      </c>
      <c r="E42" s="112">
        <v>0</v>
      </c>
      <c r="F42" s="139">
        <v>0.2</v>
      </c>
      <c r="G42" s="102">
        <v>0.2</v>
      </c>
      <c r="H42" s="208"/>
      <c r="I42" s="108">
        <v>0.2</v>
      </c>
      <c r="J42" s="108"/>
      <c r="K42" s="108"/>
      <c r="L42" s="108"/>
      <c r="M42" s="108"/>
      <c r="N42" s="108">
        <v>0.15</v>
      </c>
      <c r="O42" s="108">
        <v>-0.15</v>
      </c>
      <c r="P42" s="148">
        <v>0</v>
      </c>
      <c r="Q42" s="117">
        <v>0.15</v>
      </c>
      <c r="R42" s="108">
        <v>0.05000000000000002</v>
      </c>
      <c r="S42" s="148"/>
      <c r="T42" s="107">
        <v>0</v>
      </c>
      <c r="U42" s="110">
        <v>0</v>
      </c>
      <c r="V42" s="111">
        <v>0</v>
      </c>
      <c r="W42" s="148"/>
      <c r="X42" s="197">
        <f>#N/A</f>
        <v>0</v>
      </c>
      <c r="Y42" s="260">
        <f>#N/A</f>
        <v>0</v>
      </c>
    </row>
    <row r="43" spans="1:25" s="6" customFormat="1" ht="18">
      <c r="A43" s="8"/>
      <c r="B43" s="35" t="s">
        <v>69</v>
      </c>
      <c r="C43" s="79">
        <v>18030000</v>
      </c>
      <c r="D43" s="102">
        <v>115</v>
      </c>
      <c r="E43" s="112">
        <v>115</v>
      </c>
      <c r="F43" s="106">
        <v>156.82</v>
      </c>
      <c r="G43" s="102">
        <v>41.81999999999999</v>
      </c>
      <c r="H43" s="208">
        <v>1.3636521739130434</v>
      </c>
      <c r="I43" s="108">
        <v>41.81999999999999</v>
      </c>
      <c r="J43" s="148">
        <v>1.3636521739130434</v>
      </c>
      <c r="K43" s="108"/>
      <c r="L43" s="108"/>
      <c r="M43" s="108"/>
      <c r="N43" s="108">
        <v>117.68</v>
      </c>
      <c r="O43" s="108">
        <v>-2.680000000000007</v>
      </c>
      <c r="P43" s="148">
        <v>0.9772263766145479</v>
      </c>
      <c r="Q43" s="117">
        <v>117.68</v>
      </c>
      <c r="R43" s="108">
        <v>39.139999999999986</v>
      </c>
      <c r="S43" s="148">
        <v>1.3325968728755948</v>
      </c>
      <c r="T43" s="107">
        <v>7.5</v>
      </c>
      <c r="U43" s="110">
        <v>0.01999999999998181</v>
      </c>
      <c r="V43" s="111">
        <v>-7.480000000000018</v>
      </c>
      <c r="W43" s="148">
        <v>0.0026666666666642414</v>
      </c>
      <c r="X43" s="197">
        <f>#N/A</f>
        <v>0.3553704962610469</v>
      </c>
      <c r="Y43" s="260">
        <f>#N/A</f>
        <v>0.3553704962610469</v>
      </c>
    </row>
    <row r="44" spans="1:25" s="6" customFormat="1" ht="15" hidden="1">
      <c r="A44" s="8"/>
      <c r="B44" s="41" t="s">
        <v>158</v>
      </c>
      <c r="C44" s="70">
        <v>18031000</v>
      </c>
      <c r="D44" s="71">
        <v>52</v>
      </c>
      <c r="E44" s="71">
        <v>52</v>
      </c>
      <c r="F44" s="94">
        <v>95.14</v>
      </c>
      <c r="G44" s="71">
        <v>43.14</v>
      </c>
      <c r="H44" s="209">
        <v>1.8296153846153846</v>
      </c>
      <c r="I44" s="72">
        <v>43.14</v>
      </c>
      <c r="J44" s="75">
        <v>1.8296153846153846</v>
      </c>
      <c r="K44" s="72"/>
      <c r="L44" s="72"/>
      <c r="M44" s="72"/>
      <c r="N44" s="72">
        <v>53.55</v>
      </c>
      <c r="O44" s="72">
        <v>-1.5499999999999972</v>
      </c>
      <c r="P44" s="75">
        <v>0.9710550887021476</v>
      </c>
      <c r="Q44" s="72">
        <v>53.55</v>
      </c>
      <c r="R44" s="72">
        <v>41.59</v>
      </c>
      <c r="S44" s="75">
        <v>1.7766573295985062</v>
      </c>
      <c r="T44" s="73">
        <v>3.5</v>
      </c>
      <c r="U44" s="98">
        <v>0</v>
      </c>
      <c r="V44" s="74">
        <v>-3.5</v>
      </c>
      <c r="W44" s="75">
        <v>0</v>
      </c>
      <c r="X44" s="197"/>
      <c r="Y44" s="260">
        <f>#N/A</f>
        <v>0.8056022408963586</v>
      </c>
    </row>
    <row r="45" spans="1:25" s="6" customFormat="1" ht="15" hidden="1">
      <c r="A45" s="8"/>
      <c r="B45" s="41" t="s">
        <v>121</v>
      </c>
      <c r="C45" s="70">
        <v>18031100</v>
      </c>
      <c r="D45" s="71">
        <v>63</v>
      </c>
      <c r="E45" s="71">
        <v>63</v>
      </c>
      <c r="F45" s="94">
        <v>61.68</v>
      </c>
      <c r="G45" s="71">
        <v>-1.3200000000000003</v>
      </c>
      <c r="H45" s="209">
        <v>0.979047619047619</v>
      </c>
      <c r="I45" s="72">
        <v>-1.3200000000000003</v>
      </c>
      <c r="J45" s="75">
        <v>0.979047619047619</v>
      </c>
      <c r="K45" s="72"/>
      <c r="L45" s="72"/>
      <c r="M45" s="72"/>
      <c r="N45" s="72">
        <v>64.14</v>
      </c>
      <c r="O45" s="72">
        <v>-1.1400000000000006</v>
      </c>
      <c r="P45" s="75">
        <v>0.9822263797942001</v>
      </c>
      <c r="Q45" s="72">
        <v>64.14</v>
      </c>
      <c r="R45" s="72">
        <v>-2.460000000000001</v>
      </c>
      <c r="S45" s="75">
        <v>0.961646398503274</v>
      </c>
      <c r="T45" s="73">
        <v>4</v>
      </c>
      <c r="U45" s="98">
        <v>0.020000000000003126</v>
      </c>
      <c r="V45" s="74">
        <v>-3.979999999999997</v>
      </c>
      <c r="W45" s="75">
        <v>0.005000000000000782</v>
      </c>
      <c r="X45" s="197"/>
      <c r="Y45" s="260">
        <f>#N/A</f>
        <v>-0.020579981290926086</v>
      </c>
    </row>
    <row r="46" spans="1:25" s="6" customFormat="1" ht="30.75">
      <c r="A46" s="8"/>
      <c r="B46" s="159" t="s">
        <v>70</v>
      </c>
      <c r="C46" s="79">
        <v>18040000</v>
      </c>
      <c r="D46" s="102"/>
      <c r="E46" s="102"/>
      <c r="F46" s="106">
        <v>-50.78</v>
      </c>
      <c r="G46" s="102">
        <v>-50.78</v>
      </c>
      <c r="H46" s="208"/>
      <c r="I46" s="108">
        <v>-50.78</v>
      </c>
      <c r="J46" s="148"/>
      <c r="K46" s="108"/>
      <c r="L46" s="108"/>
      <c r="M46" s="108"/>
      <c r="N46" s="108">
        <v>-177.97</v>
      </c>
      <c r="O46" s="108">
        <v>177.97</v>
      </c>
      <c r="P46" s="148">
        <v>0</v>
      </c>
      <c r="Q46" s="108">
        <v>-177.97</v>
      </c>
      <c r="R46" s="108">
        <v>127.19</v>
      </c>
      <c r="S46" s="148">
        <v>0.28532898803169077</v>
      </c>
      <c r="T46" s="107">
        <v>0</v>
      </c>
      <c r="U46" s="110">
        <v>-7.899999999999999</v>
      </c>
      <c r="V46" s="111">
        <v>-7.899999999999999</v>
      </c>
      <c r="W46" s="148"/>
      <c r="X46" s="197">
        <f>#N/A</f>
        <v>0.28532898803169077</v>
      </c>
      <c r="Y46" s="260">
        <f>#N/A</f>
        <v>0.28532898803169077</v>
      </c>
    </row>
    <row r="47" spans="1:25" s="6" customFormat="1" ht="18">
      <c r="A47" s="8"/>
      <c r="B47" s="35" t="s">
        <v>71</v>
      </c>
      <c r="C47" s="79">
        <v>18050000</v>
      </c>
      <c r="D47" s="112">
        <v>220903.1</v>
      </c>
      <c r="E47" s="112">
        <v>220903.1</v>
      </c>
      <c r="F47" s="113">
        <v>223368.23</v>
      </c>
      <c r="G47" s="102">
        <v>2465.1300000000047</v>
      </c>
      <c r="H47" s="208">
        <v>101.11593273249674</v>
      </c>
      <c r="I47" s="108">
        <v>2465.1300000000047</v>
      </c>
      <c r="J47" s="148">
        <v>1.0111593273249675</v>
      </c>
      <c r="K47" s="108"/>
      <c r="L47" s="108"/>
      <c r="M47" s="108"/>
      <c r="N47" s="108">
        <v>158268.6</v>
      </c>
      <c r="O47" s="108">
        <v>62634.5</v>
      </c>
      <c r="P47" s="148">
        <v>1.3957481142816706</v>
      </c>
      <c r="Q47" s="123">
        <v>158268.6</v>
      </c>
      <c r="R47" s="123">
        <v>65099.630000000005</v>
      </c>
      <c r="S47" s="160">
        <v>1.4113237243521457</v>
      </c>
      <c r="T47" s="107">
        <v>33148.100000000006</v>
      </c>
      <c r="U47" s="110">
        <v>10567.48000000001</v>
      </c>
      <c r="V47" s="111">
        <v>-22580.619999999995</v>
      </c>
      <c r="W47" s="148">
        <v>0.3187959490890883</v>
      </c>
      <c r="X47" s="197">
        <f>#N/A</f>
        <v>0.015575610070475143</v>
      </c>
      <c r="Y47" s="260">
        <f>#N/A</f>
        <v>0.015575610070475143</v>
      </c>
    </row>
    <row r="48" spans="1:25" s="6" customFormat="1" ht="15" customHeight="1">
      <c r="A48" s="8"/>
      <c r="B48" s="41" t="s">
        <v>77</v>
      </c>
      <c r="C48" s="70">
        <v>18050200</v>
      </c>
      <c r="D48" s="71">
        <v>0</v>
      </c>
      <c r="E48" s="71">
        <v>0</v>
      </c>
      <c r="F48" s="94">
        <v>0.01</v>
      </c>
      <c r="G48" s="71">
        <v>0.01</v>
      </c>
      <c r="H48" s="209"/>
      <c r="I48" s="72">
        <v>0.01</v>
      </c>
      <c r="J48" s="75"/>
      <c r="K48" s="72"/>
      <c r="L48" s="72"/>
      <c r="M48" s="72"/>
      <c r="N48" s="72">
        <v>0.23</v>
      </c>
      <c r="O48" s="72">
        <v>-0.23</v>
      </c>
      <c r="P48" s="75">
        <v>0</v>
      </c>
      <c r="Q48" s="85">
        <v>0.23</v>
      </c>
      <c r="R48" s="85">
        <v>-0.22</v>
      </c>
      <c r="S48" s="153">
        <v>0.043478260869565216</v>
      </c>
      <c r="T48" s="73">
        <v>0</v>
      </c>
      <c r="U48" s="98">
        <v>0</v>
      </c>
      <c r="V48" s="74">
        <v>0</v>
      </c>
      <c r="W48" s="75"/>
      <c r="X48" s="197">
        <f>#N/A</f>
        <v>0.043478260869565216</v>
      </c>
      <c r="Y48" s="260">
        <f>#N/A</f>
        <v>0.043478260869565216</v>
      </c>
    </row>
    <row r="49" spans="1:25" s="6" customFormat="1" ht="15" customHeight="1">
      <c r="A49" s="8"/>
      <c r="B49" s="41" t="s">
        <v>78</v>
      </c>
      <c r="C49" s="70">
        <v>18050300</v>
      </c>
      <c r="D49" s="71">
        <v>44300</v>
      </c>
      <c r="E49" s="71">
        <v>44300</v>
      </c>
      <c r="F49" s="94">
        <v>45030.34</v>
      </c>
      <c r="G49" s="71">
        <v>730.3399999999965</v>
      </c>
      <c r="H49" s="209">
        <v>1.0164862302483069</v>
      </c>
      <c r="I49" s="72">
        <v>730.3399999999965</v>
      </c>
      <c r="J49" s="75">
        <v>1.0164862302483069</v>
      </c>
      <c r="K49" s="72"/>
      <c r="L49" s="72"/>
      <c r="M49" s="72"/>
      <c r="N49" s="72">
        <v>39173.72</v>
      </c>
      <c r="O49" s="72">
        <v>5126.279999999999</v>
      </c>
      <c r="P49" s="75">
        <v>1.1308601787116463</v>
      </c>
      <c r="Q49" s="85">
        <v>39173.72</v>
      </c>
      <c r="R49" s="85">
        <v>5856.619999999995</v>
      </c>
      <c r="S49" s="153">
        <v>1.149503799996528</v>
      </c>
      <c r="T49" s="73">
        <v>4800</v>
      </c>
      <c r="U49" s="98">
        <v>1716.229999999996</v>
      </c>
      <c r="V49" s="74">
        <v>-3083.770000000004</v>
      </c>
      <c r="W49" s="75">
        <v>0.3575479166666658</v>
      </c>
      <c r="X49" s="197">
        <f>#N/A</f>
        <v>0.01864362128488173</v>
      </c>
      <c r="Y49" s="260">
        <f>#N/A</f>
        <v>0.01864362128488173</v>
      </c>
    </row>
    <row r="50" spans="1:25" s="6" customFormat="1" ht="15" customHeight="1">
      <c r="A50" s="8"/>
      <c r="B50" s="41" t="s">
        <v>79</v>
      </c>
      <c r="C50" s="70">
        <v>18050400</v>
      </c>
      <c r="D50" s="71">
        <v>176548.1</v>
      </c>
      <c r="E50" s="71">
        <v>176548.1</v>
      </c>
      <c r="F50" s="94">
        <v>178270.24</v>
      </c>
      <c r="G50" s="71">
        <v>1722.1399999999849</v>
      </c>
      <c r="H50" s="209">
        <v>1.0097545088279056</v>
      </c>
      <c r="I50" s="72">
        <v>1722.1399999999849</v>
      </c>
      <c r="J50" s="75">
        <v>1.0097545088279056</v>
      </c>
      <c r="K50" s="72"/>
      <c r="L50" s="72"/>
      <c r="M50" s="72"/>
      <c r="N50" s="72">
        <v>119039.46</v>
      </c>
      <c r="O50" s="72">
        <v>57508.64</v>
      </c>
      <c r="P50" s="75">
        <v>1.4831056861313046</v>
      </c>
      <c r="Q50" s="85">
        <v>119039.46</v>
      </c>
      <c r="R50" s="85">
        <v>59230.779999999984</v>
      </c>
      <c r="S50" s="153">
        <v>1.4975726536393896</v>
      </c>
      <c r="T50" s="73">
        <v>28348.100000000006</v>
      </c>
      <c r="U50" s="98">
        <v>8848.589999999997</v>
      </c>
      <c r="V50" s="74">
        <v>-19499.51000000001</v>
      </c>
      <c r="W50" s="75">
        <v>0.3121404961884569</v>
      </c>
      <c r="X50" s="197">
        <f>#N/A</f>
        <v>0.014466967508085071</v>
      </c>
      <c r="Y50" s="260">
        <f>#N/A</f>
        <v>0.014466967508085071</v>
      </c>
    </row>
    <row r="51" spans="1:25" s="6" customFormat="1" ht="15" customHeight="1">
      <c r="A51" s="8"/>
      <c r="B51" s="41" t="s">
        <v>80</v>
      </c>
      <c r="C51" s="70">
        <v>18050500</v>
      </c>
      <c r="D51" s="71">
        <v>55</v>
      </c>
      <c r="E51" s="71">
        <v>55</v>
      </c>
      <c r="F51" s="94">
        <v>67.63</v>
      </c>
      <c r="G51" s="71">
        <v>12.629999999999995</v>
      </c>
      <c r="H51" s="209">
        <v>1.2296363636363636</v>
      </c>
      <c r="I51" s="72">
        <v>12.629999999999995</v>
      </c>
      <c r="J51" s="75">
        <v>1.2296363636363636</v>
      </c>
      <c r="K51" s="72"/>
      <c r="L51" s="72"/>
      <c r="M51" s="72"/>
      <c r="N51" s="72">
        <v>55.18</v>
      </c>
      <c r="O51" s="72">
        <v>-0.17999999999999972</v>
      </c>
      <c r="P51" s="75">
        <v>0.9967379485320769</v>
      </c>
      <c r="Q51" s="85">
        <v>55.18</v>
      </c>
      <c r="R51" s="85">
        <v>12.449999999999996</v>
      </c>
      <c r="S51" s="153">
        <v>1.2256252265313519</v>
      </c>
      <c r="T51" s="73">
        <v>0</v>
      </c>
      <c r="U51" s="98">
        <v>2.6599999999999966</v>
      </c>
      <c r="V51" s="74">
        <v>2.6599999999999966</v>
      </c>
      <c r="W51" s="75"/>
      <c r="X51" s="197">
        <f>#N/A</f>
        <v>0.228887277999275</v>
      </c>
      <c r="Y51" s="260">
        <f>#N/A</f>
        <v>0.228887277999275</v>
      </c>
    </row>
    <row r="52" spans="1:25" s="6" customFormat="1" ht="15" customHeight="1">
      <c r="A52" s="8"/>
      <c r="B52" s="164"/>
      <c r="C52" s="34"/>
      <c r="D52" s="27">
        <v>0</v>
      </c>
      <c r="E52" s="27">
        <v>0</v>
      </c>
      <c r="F52" s="175">
        <v>0</v>
      </c>
      <c r="G52" s="27">
        <v>0</v>
      </c>
      <c r="H52" s="208"/>
      <c r="I52" s="80">
        <v>0</v>
      </c>
      <c r="J52" s="67"/>
      <c r="K52" s="30"/>
      <c r="L52" s="30"/>
      <c r="M52" s="30"/>
      <c r="N52" s="30"/>
      <c r="O52" s="30"/>
      <c r="P52" s="67"/>
      <c r="Q52" s="80">
        <v>0</v>
      </c>
      <c r="R52" s="80">
        <v>0</v>
      </c>
      <c r="S52" s="154"/>
      <c r="T52" s="91">
        <v>0</v>
      </c>
      <c r="U52" s="99">
        <v>0</v>
      </c>
      <c r="V52" s="111">
        <v>0</v>
      </c>
      <c r="W52" s="67"/>
      <c r="X52" s="197">
        <f>#N/A</f>
        <v>0</v>
      </c>
      <c r="Y52" s="260">
        <f>#N/A</f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v>67930</v>
      </c>
      <c r="E53" s="103">
        <v>67930</v>
      </c>
      <c r="F53" s="103">
        <v>69380.98000000001</v>
      </c>
      <c r="G53" s="103">
        <v>1450.9800000000005</v>
      </c>
      <c r="H53" s="143">
        <v>1.0213599293390256</v>
      </c>
      <c r="I53" s="104">
        <v>1450.9800000000105</v>
      </c>
      <c r="J53" s="156">
        <v>1.0213599293390256</v>
      </c>
      <c r="K53" s="104"/>
      <c r="L53" s="104"/>
      <c r="M53" s="104"/>
      <c r="N53" s="104">
        <v>68752.68</v>
      </c>
      <c r="O53" s="104">
        <v>-822.679999999993</v>
      </c>
      <c r="P53" s="156">
        <v>0.9880342119027216</v>
      </c>
      <c r="Q53" s="173">
        <v>68752.68</v>
      </c>
      <c r="R53" s="103">
        <v>628.3000000000175</v>
      </c>
      <c r="S53" s="143">
        <v>1.0091385528535035</v>
      </c>
      <c r="T53" s="103">
        <v>5752.1</v>
      </c>
      <c r="U53" s="103">
        <v>6691.050000000001</v>
      </c>
      <c r="V53" s="103">
        <v>938.9000000000019</v>
      </c>
      <c r="W53" s="143">
        <v>1.1632360355348483</v>
      </c>
      <c r="X53" s="197">
        <f>#N/A</f>
        <v>0.021104340950781952</v>
      </c>
      <c r="Y53" s="259">
        <f>#N/A</f>
        <v>0.021104340950781952</v>
      </c>
    </row>
    <row r="54" spans="1:25" s="6" customFormat="1" ht="46.5">
      <c r="A54" s="8"/>
      <c r="B54" s="159" t="s">
        <v>85</v>
      </c>
      <c r="C54" s="34">
        <v>21010301</v>
      </c>
      <c r="D54" s="102">
        <v>2633</v>
      </c>
      <c r="E54" s="102">
        <v>2633</v>
      </c>
      <c r="F54" s="106">
        <v>2633.96</v>
      </c>
      <c r="G54" s="102">
        <v>0.9600000000000364</v>
      </c>
      <c r="H54" s="213">
        <v>1.0003646031143183</v>
      </c>
      <c r="I54" s="115">
        <v>0.9600000000000364</v>
      </c>
      <c r="J54" s="155">
        <v>1.0003646031143183</v>
      </c>
      <c r="K54" s="115"/>
      <c r="L54" s="115"/>
      <c r="M54" s="115"/>
      <c r="N54" s="115">
        <v>551.04</v>
      </c>
      <c r="O54" s="115">
        <v>2081.96</v>
      </c>
      <c r="P54" s="155">
        <v>4.778237514518002</v>
      </c>
      <c r="Q54" s="115">
        <v>551.04</v>
      </c>
      <c r="R54" s="115">
        <v>2082.92</v>
      </c>
      <c r="S54" s="155">
        <v>4.779979674796748</v>
      </c>
      <c r="T54" s="107">
        <v>2053</v>
      </c>
      <c r="U54" s="110">
        <v>0</v>
      </c>
      <c r="V54" s="111">
        <v>-2053</v>
      </c>
      <c r="W54" s="155">
        <v>0</v>
      </c>
      <c r="X54" s="197">
        <f>#N/A</f>
        <v>0.0017421602787459634</v>
      </c>
      <c r="Y54" s="260">
        <f>#N/A</f>
        <v>0.0017421602787459634</v>
      </c>
    </row>
    <row r="55" spans="1:25" s="6" customFormat="1" ht="30.75">
      <c r="A55" s="8"/>
      <c r="B55" s="87" t="s">
        <v>64</v>
      </c>
      <c r="C55" s="33">
        <v>21050000</v>
      </c>
      <c r="D55" s="102">
        <v>27400</v>
      </c>
      <c r="E55" s="102">
        <v>27400</v>
      </c>
      <c r="F55" s="106">
        <v>27997.6</v>
      </c>
      <c r="G55" s="102">
        <v>597.5999999999985</v>
      </c>
      <c r="H55" s="213">
        <v>1.0218102189781022</v>
      </c>
      <c r="I55" s="115">
        <v>597.5999999999985</v>
      </c>
      <c r="J55" s="155">
        <v>1.0218102189781022</v>
      </c>
      <c r="K55" s="115"/>
      <c r="L55" s="115"/>
      <c r="M55" s="115"/>
      <c r="N55" s="115">
        <v>36136.57</v>
      </c>
      <c r="O55" s="115">
        <v>-8736.57</v>
      </c>
      <c r="P55" s="155">
        <v>0.7582346636661974</v>
      </c>
      <c r="Q55" s="115">
        <v>36136.57</v>
      </c>
      <c r="R55" s="115">
        <v>-8138.970000000001</v>
      </c>
      <c r="S55" s="155">
        <v>0.7747719277175448</v>
      </c>
      <c r="T55" s="107">
        <v>1000</v>
      </c>
      <c r="U55" s="110">
        <v>3307.459999999999</v>
      </c>
      <c r="V55" s="111">
        <v>2307.459999999999</v>
      </c>
      <c r="W55" s="155">
        <v>3.307459999999999</v>
      </c>
      <c r="X55" s="197">
        <f>#N/A</f>
        <v>0.016537264051347367</v>
      </c>
      <c r="Y55" s="260">
        <f>#N/A</f>
        <v>0.016537264051347367</v>
      </c>
    </row>
    <row r="56" spans="1:25" s="6" customFormat="1" ht="18">
      <c r="A56" s="8"/>
      <c r="B56" s="87" t="s">
        <v>51</v>
      </c>
      <c r="C56" s="33">
        <v>21080500</v>
      </c>
      <c r="D56" s="102">
        <v>40</v>
      </c>
      <c r="E56" s="102">
        <v>40</v>
      </c>
      <c r="F56" s="106">
        <v>153.3</v>
      </c>
      <c r="G56" s="102">
        <v>113.30000000000001</v>
      </c>
      <c r="H56" s="213">
        <v>3.8325000000000005</v>
      </c>
      <c r="I56" s="115">
        <v>113.30000000000001</v>
      </c>
      <c r="J56" s="155">
        <v>3.8325000000000005</v>
      </c>
      <c r="K56" s="115"/>
      <c r="L56" s="115"/>
      <c r="M56" s="115"/>
      <c r="N56" s="115">
        <v>31.98</v>
      </c>
      <c r="O56" s="115">
        <v>8.02</v>
      </c>
      <c r="P56" s="155">
        <v>1.2507817385866167</v>
      </c>
      <c r="Q56" s="115">
        <v>31.98</v>
      </c>
      <c r="R56" s="115">
        <v>121.32000000000001</v>
      </c>
      <c r="S56" s="155">
        <v>4.793621013133208</v>
      </c>
      <c r="T56" s="107">
        <v>13</v>
      </c>
      <c r="U56" s="110">
        <v>10</v>
      </c>
      <c r="V56" s="111">
        <v>-3</v>
      </c>
      <c r="W56" s="155">
        <v>0.7692307692307693</v>
      </c>
      <c r="X56" s="197">
        <f>#N/A</f>
        <v>3.5428392745465915</v>
      </c>
      <c r="Y56" s="260">
        <f>#N/A</f>
        <v>3.5428392745465915</v>
      </c>
    </row>
    <row r="57" spans="1:25" s="6" customFormat="1" ht="31.5">
      <c r="A57" s="8"/>
      <c r="B57" s="168" t="s">
        <v>34</v>
      </c>
      <c r="C57" s="56">
        <v>21080900</v>
      </c>
      <c r="D57" s="102">
        <v>13</v>
      </c>
      <c r="E57" s="102">
        <v>13</v>
      </c>
      <c r="F57" s="106">
        <v>12.95</v>
      </c>
      <c r="G57" s="102">
        <v>-0.05000000000000071</v>
      </c>
      <c r="H57" s="213">
        <v>0.9961538461538461</v>
      </c>
      <c r="I57" s="115">
        <v>-0.05000000000000071</v>
      </c>
      <c r="J57" s="155">
        <v>0.9961538461538461</v>
      </c>
      <c r="K57" s="115"/>
      <c r="L57" s="115"/>
      <c r="M57" s="115"/>
      <c r="N57" s="115">
        <v>0.1</v>
      </c>
      <c r="O57" s="115">
        <v>12.9</v>
      </c>
      <c r="P57" s="225">
        <v>130</v>
      </c>
      <c r="Q57" s="115">
        <v>0.1</v>
      </c>
      <c r="R57" s="115">
        <v>12.85</v>
      </c>
      <c r="S57" s="155"/>
      <c r="T57" s="107">
        <v>0</v>
      </c>
      <c r="U57" s="110">
        <v>0</v>
      </c>
      <c r="V57" s="111">
        <v>0</v>
      </c>
      <c r="W57" s="155" t="e">
        <v>#DIV/0!</v>
      </c>
      <c r="X57" s="197">
        <f>#N/A</f>
        <v>-130</v>
      </c>
      <c r="Y57" s="260">
        <f>#N/A</f>
        <v>-130</v>
      </c>
    </row>
    <row r="58" spans="1:25" s="6" customFormat="1" ht="18">
      <c r="A58" s="8"/>
      <c r="B58" s="88" t="s">
        <v>16</v>
      </c>
      <c r="C58" s="57">
        <v>21081100</v>
      </c>
      <c r="D58" s="102">
        <v>660</v>
      </c>
      <c r="E58" s="102">
        <v>660</v>
      </c>
      <c r="F58" s="106">
        <v>705.31</v>
      </c>
      <c r="G58" s="102">
        <v>45.309999999999945</v>
      </c>
      <c r="H58" s="213">
        <v>1.068651515151515</v>
      </c>
      <c r="I58" s="115">
        <v>45.309999999999945</v>
      </c>
      <c r="J58" s="155">
        <v>1.068651515151515</v>
      </c>
      <c r="K58" s="115"/>
      <c r="L58" s="115"/>
      <c r="M58" s="115"/>
      <c r="N58" s="115">
        <v>241.07</v>
      </c>
      <c r="O58" s="115">
        <v>418.93</v>
      </c>
      <c r="P58" s="155">
        <v>2.7377940017422326</v>
      </c>
      <c r="Q58" s="115">
        <v>241.07</v>
      </c>
      <c r="R58" s="115">
        <v>464.23999999999995</v>
      </c>
      <c r="S58" s="155">
        <v>2.9257477081345664</v>
      </c>
      <c r="T58" s="107">
        <v>22</v>
      </c>
      <c r="U58" s="110">
        <v>34.70999999999992</v>
      </c>
      <c r="V58" s="111">
        <v>12.709999999999923</v>
      </c>
      <c r="W58" s="155">
        <v>1.5777272727272693</v>
      </c>
      <c r="X58" s="197">
        <f>#N/A</f>
        <v>0.18795370639233377</v>
      </c>
      <c r="Y58" s="260">
        <f>#N/A</f>
        <v>0.18795370639233377</v>
      </c>
    </row>
    <row r="59" spans="1:25" s="6" customFormat="1" ht="46.5">
      <c r="A59" s="8"/>
      <c r="B59" s="192" t="s">
        <v>67</v>
      </c>
      <c r="C59" s="57">
        <v>21081500</v>
      </c>
      <c r="D59" s="102">
        <v>97.5</v>
      </c>
      <c r="E59" s="102">
        <v>97.5</v>
      </c>
      <c r="F59" s="106">
        <v>114.3</v>
      </c>
      <c r="G59" s="102">
        <v>16.799999999999997</v>
      </c>
      <c r="H59" s="213">
        <v>1.1723076923076923</v>
      </c>
      <c r="I59" s="115">
        <v>16.799999999999997</v>
      </c>
      <c r="J59" s="155">
        <v>1.1723076923076923</v>
      </c>
      <c r="K59" s="115"/>
      <c r="L59" s="115"/>
      <c r="M59" s="115"/>
      <c r="N59" s="115">
        <v>86.37</v>
      </c>
      <c r="O59" s="115">
        <v>11.129999999999995</v>
      </c>
      <c r="P59" s="155">
        <v>1.1288641889544981</v>
      </c>
      <c r="Q59" s="115">
        <v>86.37</v>
      </c>
      <c r="R59" s="115">
        <v>27.929999999999993</v>
      </c>
      <c r="S59" s="155">
        <v>1.3233761722820423</v>
      </c>
      <c r="T59" s="107">
        <v>9.099999999999994</v>
      </c>
      <c r="U59" s="110">
        <v>9.149999999999991</v>
      </c>
      <c r="V59" s="111">
        <v>0.04999999999999716</v>
      </c>
      <c r="W59" s="155">
        <v>1.0054945054945053</v>
      </c>
      <c r="X59" s="197">
        <f>#N/A</f>
        <v>0.19451198332754416</v>
      </c>
      <c r="Y59" s="260">
        <f>#N/A</f>
        <v>0.19451198332754416</v>
      </c>
    </row>
    <row r="60" spans="1:25" s="6" customFormat="1" ht="30.75">
      <c r="A60" s="8"/>
      <c r="B60" s="192" t="s">
        <v>89</v>
      </c>
      <c r="C60" s="40">
        <v>22010300</v>
      </c>
      <c r="D60" s="102">
        <v>1173</v>
      </c>
      <c r="E60" s="102">
        <v>1173</v>
      </c>
      <c r="F60" s="106">
        <v>1205.14</v>
      </c>
      <c r="G60" s="102">
        <v>32.1400000000001</v>
      </c>
      <c r="H60" s="213">
        <v>1.0273998294970164</v>
      </c>
      <c r="I60" s="115">
        <v>32.1400000000001</v>
      </c>
      <c r="J60" s="155">
        <v>1.0273998294970164</v>
      </c>
      <c r="K60" s="115"/>
      <c r="L60" s="115"/>
      <c r="M60" s="115"/>
      <c r="N60" s="115">
        <v>791.33</v>
      </c>
      <c r="O60" s="115">
        <v>381.66999999999996</v>
      </c>
      <c r="P60" s="155">
        <v>1.4823145843074317</v>
      </c>
      <c r="Q60" s="115">
        <v>791.33</v>
      </c>
      <c r="R60" s="115">
        <v>413.81000000000006</v>
      </c>
      <c r="S60" s="155">
        <v>1.522929751178396</v>
      </c>
      <c r="T60" s="107">
        <v>213</v>
      </c>
      <c r="U60" s="110">
        <v>107.99000000000001</v>
      </c>
      <c r="V60" s="111">
        <v>-105.00999999999999</v>
      </c>
      <c r="W60" s="155">
        <v>0.5069953051643193</v>
      </c>
      <c r="X60" s="197">
        <f>#N/A</f>
        <v>0.040615166870964226</v>
      </c>
      <c r="Y60" s="260">
        <f>#N/A</f>
        <v>0.040615166870964226</v>
      </c>
    </row>
    <row r="61" spans="1:25" s="6" customFormat="1" ht="18">
      <c r="A61" s="8"/>
      <c r="B61" s="88" t="s">
        <v>106</v>
      </c>
      <c r="C61" s="40">
        <v>22010200</v>
      </c>
      <c r="D61" s="102">
        <v>23</v>
      </c>
      <c r="E61" s="102">
        <v>23</v>
      </c>
      <c r="F61" s="106">
        <v>23.38</v>
      </c>
      <c r="G61" s="102">
        <v>0.379999999999999</v>
      </c>
      <c r="H61" s="213">
        <v>1.0165217391304346</v>
      </c>
      <c r="I61" s="115">
        <v>0.379999999999999</v>
      </c>
      <c r="J61" s="155">
        <v>1.0165217391304346</v>
      </c>
      <c r="K61" s="115"/>
      <c r="L61" s="115"/>
      <c r="M61" s="115"/>
      <c r="N61" s="115">
        <v>0</v>
      </c>
      <c r="O61" s="115">
        <v>23</v>
      </c>
      <c r="P61" s="155" t="e">
        <v>#DIV/0!</v>
      </c>
      <c r="Q61" s="115">
        <v>0</v>
      </c>
      <c r="R61" s="115">
        <v>23.38</v>
      </c>
      <c r="S61" s="155"/>
      <c r="T61" s="107">
        <v>0</v>
      </c>
      <c r="U61" s="110">
        <v>0</v>
      </c>
      <c r="V61" s="111">
        <v>0</v>
      </c>
      <c r="W61" s="155" t="e">
        <v>#DIV/0!</v>
      </c>
      <c r="X61" s="197" t="e">
        <f>#N/A</f>
        <v>#DIV/0!</v>
      </c>
      <c r="Y61" s="260" t="e">
        <f>#N/A</f>
        <v>#DIV/0!</v>
      </c>
    </row>
    <row r="62" spans="1:25" s="6" customFormat="1" ht="18">
      <c r="A62" s="8"/>
      <c r="B62" s="193" t="s">
        <v>65</v>
      </c>
      <c r="C62" s="57">
        <v>22012500</v>
      </c>
      <c r="D62" s="102">
        <v>19700</v>
      </c>
      <c r="E62" s="102">
        <v>19700</v>
      </c>
      <c r="F62" s="106">
        <v>20110.24</v>
      </c>
      <c r="G62" s="102">
        <v>410.2400000000016</v>
      </c>
      <c r="H62" s="213">
        <v>1.0208243654822335</v>
      </c>
      <c r="I62" s="115">
        <v>410.2400000000016</v>
      </c>
      <c r="J62" s="155">
        <v>1.0208243654822335</v>
      </c>
      <c r="K62" s="115"/>
      <c r="L62" s="115"/>
      <c r="M62" s="115"/>
      <c r="N62" s="115">
        <v>11422.5</v>
      </c>
      <c r="O62" s="115">
        <v>8277.5</v>
      </c>
      <c r="P62" s="155">
        <v>1.7246662289341212</v>
      </c>
      <c r="Q62" s="115">
        <v>11422.5</v>
      </c>
      <c r="R62" s="115">
        <v>8687.740000000002</v>
      </c>
      <c r="S62" s="155">
        <v>1.7605813088203108</v>
      </c>
      <c r="T62" s="107">
        <v>1400</v>
      </c>
      <c r="U62" s="110">
        <v>1668.890000000003</v>
      </c>
      <c r="V62" s="111">
        <v>268.89000000000306</v>
      </c>
      <c r="W62" s="155">
        <v>1.1920642857142878</v>
      </c>
      <c r="X62" s="197">
        <f>#N/A</f>
        <v>0.03591507988618958</v>
      </c>
      <c r="Y62" s="260">
        <f>#N/A</f>
        <v>0.03591507988618958</v>
      </c>
    </row>
    <row r="63" spans="1:29" s="6" customFormat="1" ht="31.5">
      <c r="A63" s="8"/>
      <c r="B63" s="193" t="s">
        <v>86</v>
      </c>
      <c r="C63" s="57">
        <v>22012600</v>
      </c>
      <c r="D63" s="102">
        <v>694</v>
      </c>
      <c r="E63" s="102">
        <v>694</v>
      </c>
      <c r="F63" s="106">
        <v>710.04</v>
      </c>
      <c r="G63" s="102">
        <v>16.039999999999964</v>
      </c>
      <c r="H63" s="213">
        <v>1.0231123919308356</v>
      </c>
      <c r="I63" s="115">
        <v>16.039999999999964</v>
      </c>
      <c r="J63" s="155">
        <v>1.0231123919308356</v>
      </c>
      <c r="K63" s="115"/>
      <c r="L63" s="115"/>
      <c r="M63" s="115"/>
      <c r="N63" s="115">
        <v>323.25</v>
      </c>
      <c r="O63" s="115">
        <v>370.75</v>
      </c>
      <c r="P63" s="155">
        <v>2.1469450889404484</v>
      </c>
      <c r="Q63" s="115">
        <v>323.25</v>
      </c>
      <c r="R63" s="115">
        <v>386.78999999999996</v>
      </c>
      <c r="S63" s="155">
        <v>2.196566125290023</v>
      </c>
      <c r="T63" s="107">
        <v>189</v>
      </c>
      <c r="U63" s="110">
        <v>96.86000000000001</v>
      </c>
      <c r="V63" s="111">
        <v>-92.13999999999999</v>
      </c>
      <c r="W63" s="155">
        <v>0.5124867724867725</v>
      </c>
      <c r="X63" s="197">
        <f>#N/A</f>
        <v>0.0496210363495746</v>
      </c>
      <c r="Y63" s="260">
        <f>#N/A</f>
        <v>0.0496210363495746</v>
      </c>
      <c r="AC63" s="101"/>
    </row>
    <row r="64" spans="1:25" s="6" customFormat="1" ht="31.5">
      <c r="A64" s="8"/>
      <c r="B64" s="26" t="s">
        <v>90</v>
      </c>
      <c r="C64" s="57">
        <v>22012900</v>
      </c>
      <c r="D64" s="102">
        <v>20</v>
      </c>
      <c r="E64" s="102">
        <v>20</v>
      </c>
      <c r="F64" s="106">
        <v>41.44</v>
      </c>
      <c r="G64" s="102">
        <v>21.439999999999998</v>
      </c>
      <c r="H64" s="213">
        <v>2.072</v>
      </c>
      <c r="I64" s="115">
        <v>21.439999999999998</v>
      </c>
      <c r="J64" s="155">
        <v>2.072</v>
      </c>
      <c r="K64" s="115"/>
      <c r="L64" s="115"/>
      <c r="M64" s="115"/>
      <c r="N64" s="115">
        <v>22.36</v>
      </c>
      <c r="O64" s="115">
        <v>-2.3599999999999994</v>
      </c>
      <c r="P64" s="155">
        <v>0.8944543828264758</v>
      </c>
      <c r="Q64" s="115">
        <v>22.36</v>
      </c>
      <c r="R64" s="115">
        <v>19.08</v>
      </c>
      <c r="S64" s="155">
        <v>1.8533094812164579</v>
      </c>
      <c r="T64" s="107">
        <v>1</v>
      </c>
      <c r="U64" s="110">
        <v>3.3599999999999994</v>
      </c>
      <c r="V64" s="111">
        <v>2.3599999999999994</v>
      </c>
      <c r="W64" s="155">
        <v>3.3599999999999994</v>
      </c>
      <c r="X64" s="197">
        <f>#N/A</f>
        <v>0.9588550983899821</v>
      </c>
      <c r="Y64" s="260">
        <f>#N/A</f>
        <v>0.9588550983899821</v>
      </c>
    </row>
    <row r="65" spans="1:25" s="6" customFormat="1" ht="30.75">
      <c r="A65" s="8"/>
      <c r="B65" s="88" t="s">
        <v>14</v>
      </c>
      <c r="C65" s="40">
        <v>22080400</v>
      </c>
      <c r="D65" s="102">
        <v>6452</v>
      </c>
      <c r="E65" s="102">
        <v>6452</v>
      </c>
      <c r="F65" s="106">
        <v>6545.96</v>
      </c>
      <c r="G65" s="102">
        <v>93.96000000000004</v>
      </c>
      <c r="H65" s="213">
        <v>1.0145629262244265</v>
      </c>
      <c r="I65" s="115">
        <v>93.96000000000004</v>
      </c>
      <c r="J65" s="155">
        <v>1.0145629262244265</v>
      </c>
      <c r="K65" s="115"/>
      <c r="L65" s="115"/>
      <c r="M65" s="115"/>
      <c r="N65" s="115">
        <v>7230.43</v>
      </c>
      <c r="O65" s="115">
        <v>-778.4300000000003</v>
      </c>
      <c r="P65" s="155">
        <v>0.8923397363642273</v>
      </c>
      <c r="Q65" s="115">
        <v>7230.43</v>
      </c>
      <c r="R65" s="115">
        <v>-684.4700000000003</v>
      </c>
      <c r="S65" s="155">
        <v>0.9053348141120238</v>
      </c>
      <c r="T65" s="107">
        <v>5</v>
      </c>
      <c r="U65" s="110">
        <v>620.3599999999997</v>
      </c>
      <c r="V65" s="111">
        <v>615.3599999999997</v>
      </c>
      <c r="W65" s="155">
        <v>124.07199999999993</v>
      </c>
      <c r="X65" s="197">
        <f>#N/A</f>
        <v>0.012995077747796513</v>
      </c>
      <c r="Y65" s="260">
        <f>#N/A</f>
        <v>0.012995077747796513</v>
      </c>
    </row>
    <row r="66" spans="1:25" s="6" customFormat="1" ht="19.5" customHeight="1">
      <c r="A66" s="8"/>
      <c r="B66" s="88" t="s">
        <v>15</v>
      </c>
      <c r="C66" s="34">
        <v>22090000</v>
      </c>
      <c r="D66" s="102">
        <v>987</v>
      </c>
      <c r="E66" s="102">
        <v>987</v>
      </c>
      <c r="F66" s="106">
        <v>896.22</v>
      </c>
      <c r="G66" s="102">
        <v>-90.77999999999997</v>
      </c>
      <c r="H66" s="213">
        <v>0.9080243161094225</v>
      </c>
      <c r="I66" s="115">
        <v>-90.77999999999997</v>
      </c>
      <c r="J66" s="155">
        <v>0.9080243161094225</v>
      </c>
      <c r="K66" s="115"/>
      <c r="L66" s="115"/>
      <c r="M66" s="115"/>
      <c r="N66" s="115">
        <v>5161.34</v>
      </c>
      <c r="O66" s="115">
        <v>-4174.34</v>
      </c>
      <c r="P66" s="155">
        <v>0.19122940941693437</v>
      </c>
      <c r="Q66" s="115">
        <v>5161.34</v>
      </c>
      <c r="R66" s="115">
        <v>-4265.12</v>
      </c>
      <c r="S66" s="155">
        <v>0.17364095370582058</v>
      </c>
      <c r="T66" s="107">
        <v>2</v>
      </c>
      <c r="U66" s="110">
        <v>110.63999999999999</v>
      </c>
      <c r="V66" s="111">
        <v>108.63999999999999</v>
      </c>
      <c r="W66" s="155">
        <v>55.31999999999999</v>
      </c>
      <c r="X66" s="197">
        <f>#N/A</f>
        <v>-0.017588455711113782</v>
      </c>
      <c r="Y66" s="260">
        <f>#N/A</f>
        <v>-0.017588455711113782</v>
      </c>
    </row>
    <row r="67" spans="1:25" s="6" customFormat="1" ht="15" hidden="1">
      <c r="A67" s="8"/>
      <c r="B67" s="195" t="s">
        <v>84</v>
      </c>
      <c r="C67" s="84">
        <v>22090100</v>
      </c>
      <c r="D67" s="71">
        <v>820</v>
      </c>
      <c r="E67" s="71">
        <v>820</v>
      </c>
      <c r="F67" s="94">
        <v>760.62</v>
      </c>
      <c r="G67" s="71">
        <v>-59.379999999999995</v>
      </c>
      <c r="H67" s="209">
        <v>0.9275853658536586</v>
      </c>
      <c r="I67" s="72">
        <v>-59.379999999999995</v>
      </c>
      <c r="J67" s="75">
        <v>0.9275853658536586</v>
      </c>
      <c r="K67" s="72"/>
      <c r="L67" s="72"/>
      <c r="M67" s="72"/>
      <c r="N67" s="72">
        <v>835.21</v>
      </c>
      <c r="O67" s="72">
        <v>-15.210000000000036</v>
      </c>
      <c r="P67" s="75">
        <v>0.9817890111468971</v>
      </c>
      <c r="Q67" s="72">
        <v>835.21</v>
      </c>
      <c r="R67" s="203">
        <v>-74.59000000000003</v>
      </c>
      <c r="S67" s="204">
        <v>0.9106931190957962</v>
      </c>
      <c r="T67" s="73">
        <v>0</v>
      </c>
      <c r="U67" s="98">
        <v>98.86000000000001</v>
      </c>
      <c r="V67" s="74">
        <v>98.86000000000001</v>
      </c>
      <c r="W67" s="75" t="e">
        <v>#DIV/0!</v>
      </c>
      <c r="X67" s="197">
        <f>#N/A</f>
        <v>-0.0710958920511009</v>
      </c>
      <c r="Y67" s="260">
        <f>#N/A</f>
        <v>-0.0710958920511009</v>
      </c>
    </row>
    <row r="68" spans="1:25" s="6" customFormat="1" ht="15" hidden="1">
      <c r="A68" s="8"/>
      <c r="B68" s="195" t="s">
        <v>81</v>
      </c>
      <c r="C68" s="84">
        <v>22090200</v>
      </c>
      <c r="D68" s="71">
        <v>1</v>
      </c>
      <c r="E68" s="71">
        <v>1</v>
      </c>
      <c r="F68" s="94">
        <v>0.18</v>
      </c>
      <c r="G68" s="71">
        <v>-0.8200000000000001</v>
      </c>
      <c r="H68" s="209">
        <v>0.18</v>
      </c>
      <c r="I68" s="72">
        <v>-0.8200000000000001</v>
      </c>
      <c r="J68" s="75">
        <v>0.18</v>
      </c>
      <c r="K68" s="72"/>
      <c r="L68" s="72"/>
      <c r="M68" s="72"/>
      <c r="N68" s="72">
        <v>0.38</v>
      </c>
      <c r="O68" s="72">
        <v>0.62</v>
      </c>
      <c r="P68" s="75">
        <v>2.6315789473684212</v>
      </c>
      <c r="Q68" s="72">
        <v>0.38</v>
      </c>
      <c r="R68" s="203">
        <v>-0.2</v>
      </c>
      <c r="S68" s="204">
        <v>0.47368421052631576</v>
      </c>
      <c r="T68" s="73">
        <v>1</v>
      </c>
      <c r="U68" s="98">
        <v>0</v>
      </c>
      <c r="V68" s="74">
        <v>-1</v>
      </c>
      <c r="W68" s="75"/>
      <c r="X68" s="197">
        <f>#N/A</f>
        <v>-2.1578947368421053</v>
      </c>
      <c r="Y68" s="260">
        <f>#N/A</f>
        <v>-2.1578947368421053</v>
      </c>
    </row>
    <row r="69" spans="1:25" s="6" customFormat="1" ht="15" hidden="1">
      <c r="A69" s="8"/>
      <c r="B69" s="195" t="s">
        <v>82</v>
      </c>
      <c r="C69" s="84">
        <v>22090300</v>
      </c>
      <c r="D69" s="71">
        <v>1</v>
      </c>
      <c r="E69" s="71">
        <v>1</v>
      </c>
      <c r="F69" s="94">
        <v>0</v>
      </c>
      <c r="G69" s="71">
        <v>-1</v>
      </c>
      <c r="H69" s="209">
        <v>0</v>
      </c>
      <c r="I69" s="72">
        <v>-1</v>
      </c>
      <c r="J69" s="75">
        <v>0</v>
      </c>
      <c r="K69" s="72"/>
      <c r="L69" s="72"/>
      <c r="M69" s="72"/>
      <c r="N69" s="72">
        <v>0.02</v>
      </c>
      <c r="O69" s="72">
        <v>0.98</v>
      </c>
      <c r="P69" s="75">
        <v>50</v>
      </c>
      <c r="Q69" s="72">
        <v>0.02</v>
      </c>
      <c r="R69" s="203">
        <v>-0.02</v>
      </c>
      <c r="S69" s="204">
        <v>0</v>
      </c>
      <c r="T69" s="73">
        <v>1</v>
      </c>
      <c r="U69" s="98">
        <v>0</v>
      </c>
      <c r="V69" s="74">
        <v>-1</v>
      </c>
      <c r="W69" s="75"/>
      <c r="X69" s="197">
        <f>#N/A</f>
        <v>-50</v>
      </c>
      <c r="Y69" s="260">
        <f>#N/A</f>
        <v>-50</v>
      </c>
    </row>
    <row r="70" spans="1:25" s="6" customFormat="1" ht="15" hidden="1">
      <c r="A70" s="8"/>
      <c r="B70" s="195" t="s">
        <v>83</v>
      </c>
      <c r="C70" s="84">
        <v>22090400</v>
      </c>
      <c r="D70" s="71">
        <v>165</v>
      </c>
      <c r="E70" s="71">
        <v>165</v>
      </c>
      <c r="F70" s="94">
        <v>135.42</v>
      </c>
      <c r="G70" s="71">
        <v>-29.580000000000013</v>
      </c>
      <c r="H70" s="209">
        <v>0.8207272727272726</v>
      </c>
      <c r="I70" s="72">
        <v>-29.580000000000013</v>
      </c>
      <c r="J70" s="75">
        <v>0.8207272727272726</v>
      </c>
      <c r="K70" s="72"/>
      <c r="L70" s="72"/>
      <c r="M70" s="72"/>
      <c r="N70" s="72">
        <v>4325.74</v>
      </c>
      <c r="O70" s="72">
        <v>-4160.74</v>
      </c>
      <c r="P70" s="75">
        <v>0.03814376268569077</v>
      </c>
      <c r="Q70" s="72">
        <v>4325.74</v>
      </c>
      <c r="R70" s="203">
        <v>-4190.32</v>
      </c>
      <c r="S70" s="204">
        <v>0.0313056263205833</v>
      </c>
      <c r="T70" s="73">
        <v>0</v>
      </c>
      <c r="U70" s="98">
        <v>11.779999999999987</v>
      </c>
      <c r="V70" s="74">
        <v>11.779999999999987</v>
      </c>
      <c r="W70" s="75" t="e">
        <v>#DIV/0!</v>
      </c>
      <c r="X70" s="197">
        <f>#N/A</f>
        <v>-0.006838136365107474</v>
      </c>
      <c r="Y70" s="260">
        <f>#N/A</f>
        <v>-0.006838136365107474</v>
      </c>
    </row>
    <row r="71" spans="1:25" s="6" customFormat="1" ht="46.5">
      <c r="A71" s="8"/>
      <c r="B71" s="88" t="s">
        <v>17</v>
      </c>
      <c r="C71" s="11" t="s">
        <v>18</v>
      </c>
      <c r="D71" s="102">
        <v>2.5</v>
      </c>
      <c r="E71" s="102">
        <v>2.5</v>
      </c>
      <c r="F71" s="106">
        <v>2.04</v>
      </c>
      <c r="G71" s="102">
        <v>-0.45999999999999996</v>
      </c>
      <c r="H71" s="213">
        <v>0.8160000000000001</v>
      </c>
      <c r="I71" s="115">
        <v>-0.45999999999999996</v>
      </c>
      <c r="J71" s="155">
        <v>0.8160000000000001</v>
      </c>
      <c r="K71" s="115"/>
      <c r="L71" s="115"/>
      <c r="M71" s="115"/>
      <c r="N71" s="115">
        <v>2.46</v>
      </c>
      <c r="O71" s="115">
        <v>0.040000000000000036</v>
      </c>
      <c r="P71" s="155">
        <v>1.016260162601626</v>
      </c>
      <c r="Q71" s="115">
        <v>2.46</v>
      </c>
      <c r="R71" s="115">
        <v>-0.41999999999999993</v>
      </c>
      <c r="S71" s="155">
        <v>0.8292682926829269</v>
      </c>
      <c r="T71" s="107">
        <v>0</v>
      </c>
      <c r="U71" s="110">
        <v>0</v>
      </c>
      <c r="V71" s="111">
        <v>0</v>
      </c>
      <c r="W71" s="155"/>
      <c r="X71" s="197">
        <f>#N/A</f>
        <v>-0.1869918699186992</v>
      </c>
      <c r="Y71" s="260">
        <f>#N/A</f>
        <v>-0.1869918699186992</v>
      </c>
    </row>
    <row r="72" spans="1:25" s="6" customFormat="1" ht="15.75" customHeight="1">
      <c r="A72" s="8"/>
      <c r="B72" s="89" t="s">
        <v>13</v>
      </c>
      <c r="C72" s="11" t="s">
        <v>19</v>
      </c>
      <c r="D72" s="102">
        <v>7875</v>
      </c>
      <c r="E72" s="102">
        <v>7875</v>
      </c>
      <c r="F72" s="106">
        <v>8086.92</v>
      </c>
      <c r="G72" s="102">
        <v>211.92000000000007</v>
      </c>
      <c r="H72" s="213">
        <v>1.0269104761904762</v>
      </c>
      <c r="I72" s="115">
        <v>211.92000000000007</v>
      </c>
      <c r="J72" s="155">
        <v>1.0269104761904762</v>
      </c>
      <c r="K72" s="115"/>
      <c r="L72" s="115"/>
      <c r="M72" s="115"/>
      <c r="N72" s="115">
        <v>6525.16</v>
      </c>
      <c r="O72" s="115">
        <v>1349.8400000000001</v>
      </c>
      <c r="P72" s="155">
        <v>1.2068669580516034</v>
      </c>
      <c r="Q72" s="115">
        <v>6525.16</v>
      </c>
      <c r="R72" s="115">
        <v>1561.7600000000002</v>
      </c>
      <c r="S72" s="155">
        <v>1.2393443225913234</v>
      </c>
      <c r="T72" s="107">
        <v>775</v>
      </c>
      <c r="U72" s="110">
        <v>721.6300000000001</v>
      </c>
      <c r="V72" s="111">
        <v>-53.36999999999989</v>
      </c>
      <c r="W72" s="155">
        <v>0.9311354838709679</v>
      </c>
      <c r="X72" s="197">
        <f>#N/A</f>
        <v>0.032477364539720055</v>
      </c>
      <c r="Y72" s="260">
        <f>#N/A</f>
        <v>0.032477364539720055</v>
      </c>
    </row>
    <row r="73" spans="1:25" s="6" customFormat="1" ht="18" hidden="1">
      <c r="A73" s="8"/>
      <c r="B73" s="12" t="s">
        <v>22</v>
      </c>
      <c r="C73" s="49" t="s">
        <v>23</v>
      </c>
      <c r="D73" s="24">
        <v>0</v>
      </c>
      <c r="E73" s="24">
        <v>0</v>
      </c>
      <c r="F73" s="93">
        <v>0</v>
      </c>
      <c r="G73" s="102">
        <v>0</v>
      </c>
      <c r="H73" s="213" t="e">
        <v>#DIV/0!</v>
      </c>
      <c r="I73" s="115">
        <v>0</v>
      </c>
      <c r="J73" s="155" t="e">
        <v>#DIV/0!</v>
      </c>
      <c r="K73" s="115"/>
      <c r="L73" s="115"/>
      <c r="M73" s="115"/>
      <c r="N73" s="115"/>
      <c r="O73" s="115"/>
      <c r="P73" s="155"/>
      <c r="Q73" s="115">
        <v>0</v>
      </c>
      <c r="R73" s="115">
        <v>0</v>
      </c>
      <c r="S73" s="155" t="e">
        <v>#DIV/0!</v>
      </c>
      <c r="T73" s="107">
        <v>0</v>
      </c>
      <c r="U73" s="110">
        <v>0</v>
      </c>
      <c r="V73" s="111">
        <v>0</v>
      </c>
      <c r="W73" s="155" t="e">
        <v>#DIV/0!</v>
      </c>
      <c r="X73" s="197" t="e">
        <f>#N/A</f>
        <v>#DIV/0!</v>
      </c>
      <c r="Y73" s="260" t="e">
        <f>#N/A</f>
        <v>#DIV/0!</v>
      </c>
    </row>
    <row r="74" spans="1:25" s="6" customFormat="1" ht="30.75">
      <c r="A74" s="8"/>
      <c r="B74" s="41" t="s">
        <v>37</v>
      </c>
      <c r="C74" s="49"/>
      <c r="D74" s="71"/>
      <c r="E74" s="71"/>
      <c r="F74" s="141">
        <v>2095.91</v>
      </c>
      <c r="G74" s="170"/>
      <c r="H74" s="213"/>
      <c r="I74" s="171"/>
      <c r="J74" s="180"/>
      <c r="K74" s="171"/>
      <c r="L74" s="171"/>
      <c r="M74" s="171"/>
      <c r="N74" s="171">
        <v>1411.18</v>
      </c>
      <c r="O74" s="115"/>
      <c r="P74" s="155"/>
      <c r="Q74" s="116">
        <v>1411.18</v>
      </c>
      <c r="R74" s="171"/>
      <c r="S74" s="180">
        <v>1.4852180444734193</v>
      </c>
      <c r="T74" s="107"/>
      <c r="U74" s="124">
        <v>147.02999999999975</v>
      </c>
      <c r="V74" s="116">
        <v>147.02999999999975</v>
      </c>
      <c r="W74" s="155"/>
      <c r="X74" s="197"/>
      <c r="Y74" s="260">
        <f>#N/A</f>
        <v>1.4852180444734193</v>
      </c>
    </row>
    <row r="75" spans="1:25" s="6" customFormat="1" ht="18" hidden="1">
      <c r="A75" s="8"/>
      <c r="B75" s="89" t="s">
        <v>20</v>
      </c>
      <c r="C75" s="86" t="s">
        <v>21</v>
      </c>
      <c r="D75" s="27">
        <v>0</v>
      </c>
      <c r="E75" s="27">
        <v>0</v>
      </c>
      <c r="F75" s="95">
        <v>0</v>
      </c>
      <c r="G75" s="102">
        <v>0</v>
      </c>
      <c r="H75" s="213" t="e">
        <v>#DIV/0!</v>
      </c>
      <c r="I75" s="115">
        <v>0</v>
      </c>
      <c r="J75" s="155" t="e">
        <v>#DIV/0!</v>
      </c>
      <c r="K75" s="115"/>
      <c r="L75" s="115"/>
      <c r="M75" s="115"/>
      <c r="N75" s="115"/>
      <c r="O75" s="115"/>
      <c r="P75" s="155"/>
      <c r="Q75" s="116">
        <v>0</v>
      </c>
      <c r="R75" s="115">
        <v>0</v>
      </c>
      <c r="S75" s="155" t="e">
        <v>#DIV/0!</v>
      </c>
      <c r="T75" s="107">
        <v>0</v>
      </c>
      <c r="U75" s="110">
        <v>0</v>
      </c>
      <c r="V75" s="111">
        <v>0</v>
      </c>
      <c r="W75" s="155" t="e">
        <v>#DIV/0!</v>
      </c>
      <c r="X75" s="197" t="e">
        <f>#N/A</f>
        <v>#DIV/0!</v>
      </c>
      <c r="Y75" s="260" t="e">
        <f>#N/A</f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102">
        <v>160</v>
      </c>
      <c r="E76" s="102">
        <v>160</v>
      </c>
      <c r="F76" s="106">
        <v>142.18</v>
      </c>
      <c r="G76" s="102">
        <v>-17.819999999999993</v>
      </c>
      <c r="H76" s="213">
        <v>0.888625</v>
      </c>
      <c r="I76" s="115">
        <v>-17.819999999999993</v>
      </c>
      <c r="J76" s="155">
        <v>0.888625</v>
      </c>
      <c r="K76" s="115"/>
      <c r="L76" s="115"/>
      <c r="M76" s="115"/>
      <c r="N76" s="115">
        <v>226.72</v>
      </c>
      <c r="O76" s="115">
        <v>-66.72</v>
      </c>
      <c r="P76" s="155">
        <v>0.7057163020465773</v>
      </c>
      <c r="Q76" s="115">
        <v>226.72</v>
      </c>
      <c r="R76" s="115">
        <v>-84.53999999999999</v>
      </c>
      <c r="S76" s="155">
        <v>0.6271171489061398</v>
      </c>
      <c r="T76" s="107">
        <v>70</v>
      </c>
      <c r="U76" s="110">
        <v>0</v>
      </c>
      <c r="V76" s="111">
        <v>-70</v>
      </c>
      <c r="W76" s="155">
        <v>0</v>
      </c>
      <c r="X76" s="197">
        <f>#N/A</f>
        <v>-0.07859915314043753</v>
      </c>
      <c r="Y76" s="260">
        <f>#N/A</f>
        <v>-0.07859915314043753</v>
      </c>
    </row>
    <row r="77" spans="1:25" s="6" customFormat="1" ht="27.75" customHeight="1">
      <c r="A77" s="8"/>
      <c r="B77" s="89" t="s">
        <v>39</v>
      </c>
      <c r="C77" s="34">
        <v>31010200</v>
      </c>
      <c r="D77" s="102">
        <v>15</v>
      </c>
      <c r="E77" s="102">
        <v>15</v>
      </c>
      <c r="F77" s="106">
        <v>34.22</v>
      </c>
      <c r="G77" s="102">
        <v>19.22</v>
      </c>
      <c r="H77" s="213">
        <v>2.2813333333333334</v>
      </c>
      <c r="I77" s="115">
        <v>19.22</v>
      </c>
      <c r="J77" s="155">
        <v>2.2813333333333334</v>
      </c>
      <c r="K77" s="115"/>
      <c r="L77" s="115"/>
      <c r="M77" s="115"/>
      <c r="N77" s="115">
        <v>13.52</v>
      </c>
      <c r="O77" s="115">
        <v>1.4800000000000004</v>
      </c>
      <c r="P77" s="155">
        <v>1.1094674556213018</v>
      </c>
      <c r="Q77" s="115">
        <v>13.52</v>
      </c>
      <c r="R77" s="115">
        <v>20.7</v>
      </c>
      <c r="S77" s="155">
        <v>2.5310650887573964</v>
      </c>
      <c r="T77" s="107">
        <v>1.1999999999999993</v>
      </c>
      <c r="U77" s="110">
        <v>0</v>
      </c>
      <c r="V77" s="111">
        <v>-1.1999999999999993</v>
      </c>
      <c r="W77" s="155">
        <v>0</v>
      </c>
      <c r="X77" s="197">
        <f>#N/A</f>
        <v>1.4215976331360947</v>
      </c>
      <c r="Y77" s="260">
        <f>#N/A</f>
        <v>1.4215976331360947</v>
      </c>
    </row>
    <row r="78" spans="1:25" s="6" customFormat="1" ht="30.75">
      <c r="A78" s="8"/>
      <c r="B78" s="89" t="s">
        <v>49</v>
      </c>
      <c r="C78" s="34">
        <v>31020000</v>
      </c>
      <c r="D78" s="102">
        <v>0</v>
      </c>
      <c r="E78" s="102">
        <v>0</v>
      </c>
      <c r="F78" s="106">
        <v>-4.86</v>
      </c>
      <c r="G78" s="102">
        <v>-4.86</v>
      </c>
      <c r="H78" s="213" t="e">
        <v>#DIV/0!</v>
      </c>
      <c r="I78" s="115">
        <v>-4.86</v>
      </c>
      <c r="J78" s="155"/>
      <c r="K78" s="115"/>
      <c r="L78" s="115"/>
      <c r="M78" s="115"/>
      <c r="N78" s="115">
        <v>7.37</v>
      </c>
      <c r="O78" s="115">
        <v>-7.37</v>
      </c>
      <c r="P78" s="155">
        <v>0</v>
      </c>
      <c r="Q78" s="115">
        <v>7.37</v>
      </c>
      <c r="R78" s="115">
        <v>-12.23</v>
      </c>
      <c r="S78" s="155">
        <v>-0.6594301221166893</v>
      </c>
      <c r="T78" s="107">
        <v>0</v>
      </c>
      <c r="U78" s="110">
        <v>0.13999999999999968</v>
      </c>
      <c r="V78" s="111">
        <v>0.13999999999999968</v>
      </c>
      <c r="W78" s="155"/>
      <c r="X78" s="197">
        <f>#N/A</f>
        <v>-0.6594301221166893</v>
      </c>
      <c r="Y78" s="260">
        <f>#N/A</f>
        <v>-0.6594301221166893</v>
      </c>
    </row>
    <row r="79" spans="1:25" s="6" customFormat="1" ht="17.25">
      <c r="A79" s="9"/>
      <c r="B79" s="13" t="s">
        <v>104</v>
      </c>
      <c r="C79" s="50"/>
      <c r="D79" s="103">
        <v>1398891.1</v>
      </c>
      <c r="E79" s="103">
        <v>1398891.1</v>
      </c>
      <c r="F79" s="103">
        <v>1398996.47</v>
      </c>
      <c r="G79" s="103">
        <v>105.36999999987893</v>
      </c>
      <c r="H79" s="210">
        <v>1.000075323947661</v>
      </c>
      <c r="I79" s="104">
        <v>105.36999999987893</v>
      </c>
      <c r="J79" s="156">
        <v>1.000075323947661</v>
      </c>
      <c r="K79" s="104"/>
      <c r="L79" s="104"/>
      <c r="M79" s="104"/>
      <c r="N79" s="104">
        <v>1053569.51</v>
      </c>
      <c r="O79" s="104">
        <v>345321.5900000001</v>
      </c>
      <c r="P79" s="156">
        <v>1.3277634619475653</v>
      </c>
      <c r="Q79" s="103">
        <v>1053569.51</v>
      </c>
      <c r="R79" s="104">
        <v>345426.95999999996</v>
      </c>
      <c r="S79" s="156">
        <v>1.3278634743330793</v>
      </c>
      <c r="T79" s="103">
        <v>154133.80000000002</v>
      </c>
      <c r="U79" s="103">
        <v>130084.83000000012</v>
      </c>
      <c r="V79" s="135">
        <v>-24048.9699999999</v>
      </c>
      <c r="W79" s="156">
        <v>0.843973417900552</v>
      </c>
      <c r="X79" s="197">
        <f>#N/A</f>
        <v>0.00010001238551393676</v>
      </c>
      <c r="Y79" s="259">
        <f>#N/A</f>
        <v>0.00010001238551393676</v>
      </c>
    </row>
    <row r="80" spans="1:25" s="39" customFormat="1" ht="17.25" hidden="1">
      <c r="A80" s="36"/>
      <c r="B80" s="43"/>
      <c r="C80" s="51"/>
      <c r="D80" s="37"/>
      <c r="E80" s="37"/>
      <c r="F80" s="63"/>
      <c r="G80" s="61"/>
      <c r="H80" s="214"/>
      <c r="I80" s="42"/>
      <c r="J80" s="68"/>
      <c r="K80" s="28"/>
      <c r="L80" s="28"/>
      <c r="M80" s="28"/>
      <c r="N80" s="28"/>
      <c r="O80" s="28"/>
      <c r="P80" s="68"/>
      <c r="Q80" s="28"/>
      <c r="R80" s="28"/>
      <c r="S80" s="28"/>
      <c r="T80" s="38"/>
      <c r="U80" s="37"/>
      <c r="V80" s="62"/>
      <c r="W80" s="68"/>
      <c r="X80" s="197">
        <f>#N/A</f>
        <v>0</v>
      </c>
      <c r="Y80" s="260">
        <f>#N/A</f>
        <v>0</v>
      </c>
    </row>
    <row r="81" spans="1:25" s="39" customFormat="1" ht="17.25" hidden="1">
      <c r="A81" s="36"/>
      <c r="B81" s="44"/>
      <c r="C81" s="51"/>
      <c r="D81" s="45"/>
      <c r="E81" s="37"/>
      <c r="F81" s="63"/>
      <c r="G81" s="32"/>
      <c r="H81" s="214"/>
      <c r="I81" s="46"/>
      <c r="J81" s="68"/>
      <c r="K81" s="28"/>
      <c r="L81" s="28"/>
      <c r="M81" s="28"/>
      <c r="N81" s="28"/>
      <c r="O81" s="28"/>
      <c r="P81" s="68"/>
      <c r="Q81" s="28"/>
      <c r="R81" s="28"/>
      <c r="S81" s="28"/>
      <c r="T81" s="23"/>
      <c r="U81" s="37"/>
      <c r="V81" s="47"/>
      <c r="W81" s="68"/>
      <c r="X81" s="197">
        <f>#N/A</f>
        <v>0</v>
      </c>
      <c r="Y81" s="260">
        <f>#N/A</f>
        <v>0</v>
      </c>
    </row>
    <row r="82" spans="1:25" s="39" customFormat="1" ht="17.25" hidden="1">
      <c r="A82" s="36"/>
      <c r="B82" s="44"/>
      <c r="C82" s="51"/>
      <c r="D82" s="45"/>
      <c r="E82" s="27"/>
      <c r="F82" s="76"/>
      <c r="G82" s="32"/>
      <c r="H82" s="214"/>
      <c r="I82" s="46"/>
      <c r="J82" s="68"/>
      <c r="K82" s="28"/>
      <c r="L82" s="28"/>
      <c r="M82" s="28"/>
      <c r="N82" s="28"/>
      <c r="O82" s="28"/>
      <c r="P82" s="68"/>
      <c r="Q82" s="28"/>
      <c r="R82" s="28"/>
      <c r="S82" s="28"/>
      <c r="T82" s="23"/>
      <c r="U82" s="45"/>
      <c r="V82" s="62"/>
      <c r="W82" s="68"/>
      <c r="X82" s="197">
        <f>#N/A</f>
        <v>0</v>
      </c>
      <c r="Y82" s="260">
        <f>#N/A</f>
        <v>0</v>
      </c>
    </row>
    <row r="83" spans="2:25" ht="15">
      <c r="B83" s="19" t="s">
        <v>91</v>
      </c>
      <c r="C83" s="52"/>
      <c r="D83" s="21"/>
      <c r="E83" s="21"/>
      <c r="F83" s="96"/>
      <c r="G83" s="27"/>
      <c r="H83" s="215"/>
      <c r="I83" s="31"/>
      <c r="J83" s="69"/>
      <c r="K83" s="31"/>
      <c r="L83" s="31"/>
      <c r="M83" s="31"/>
      <c r="N83" s="31"/>
      <c r="O83" s="31"/>
      <c r="P83" s="69"/>
      <c r="Q83" s="31"/>
      <c r="R83" s="31"/>
      <c r="S83" s="31"/>
      <c r="T83" s="24"/>
      <c r="U83" s="100"/>
      <c r="V83" s="29"/>
      <c r="W83" s="69"/>
      <c r="X83" s="197">
        <f>#N/A</f>
        <v>0</v>
      </c>
      <c r="Y83" s="260">
        <f>#N/A</f>
        <v>0</v>
      </c>
    </row>
    <row r="84" spans="2:25" ht="25.5" customHeight="1" hidden="1">
      <c r="B84" s="165" t="s">
        <v>87</v>
      </c>
      <c r="C84" s="90">
        <v>12020000</v>
      </c>
      <c r="D84" s="125">
        <v>0</v>
      </c>
      <c r="E84" s="125"/>
      <c r="F84" s="126">
        <v>0.01</v>
      </c>
      <c r="G84" s="112"/>
      <c r="H84" s="213"/>
      <c r="I84" s="117"/>
      <c r="J84" s="147"/>
      <c r="K84" s="117"/>
      <c r="L84" s="117"/>
      <c r="M84" s="117"/>
      <c r="N84" s="117"/>
      <c r="O84" s="117"/>
      <c r="P84" s="147"/>
      <c r="Q84" s="117">
        <v>0</v>
      </c>
      <c r="R84" s="117">
        <v>0.01</v>
      </c>
      <c r="S84" s="147" t="e">
        <v>#DIV/0!</v>
      </c>
      <c r="T84" s="112">
        <v>0</v>
      </c>
      <c r="U84" s="110">
        <v>0</v>
      </c>
      <c r="V84" s="117"/>
      <c r="W84" s="147"/>
      <c r="X84" s="197" t="e">
        <f>#N/A</f>
        <v>#DIV/0!</v>
      </c>
      <c r="Y84" s="260" t="e">
        <f>#N/A</f>
        <v>#DIV/0!</v>
      </c>
    </row>
    <row r="85" spans="2:25" ht="31.5">
      <c r="B85" s="20" t="s">
        <v>52</v>
      </c>
      <c r="C85" s="58">
        <v>18041500</v>
      </c>
      <c r="D85" s="125">
        <v>0</v>
      </c>
      <c r="E85" s="125"/>
      <c r="F85" s="126">
        <v>-2.64</v>
      </c>
      <c r="G85" s="112">
        <v>-2.64</v>
      </c>
      <c r="H85" s="213"/>
      <c r="I85" s="117">
        <v>-2.64</v>
      </c>
      <c r="J85" s="147"/>
      <c r="K85" s="117"/>
      <c r="L85" s="117"/>
      <c r="M85" s="117"/>
      <c r="N85" s="117">
        <v>-10.19</v>
      </c>
      <c r="O85" s="117">
        <v>10.19</v>
      </c>
      <c r="P85" s="147">
        <v>0</v>
      </c>
      <c r="Q85" s="117">
        <v>-10.19</v>
      </c>
      <c r="R85" s="117">
        <v>7.549999999999999</v>
      </c>
      <c r="S85" s="147">
        <v>0.2590775269872424</v>
      </c>
      <c r="T85" s="112">
        <v>0</v>
      </c>
      <c r="U85" s="110">
        <v>0</v>
      </c>
      <c r="V85" s="117">
        <v>0</v>
      </c>
      <c r="W85" s="147"/>
      <c r="X85" s="197">
        <f>#N/A</f>
        <v>0.2590775269872424</v>
      </c>
      <c r="Y85" s="260">
        <f>#N/A</f>
        <v>0.2590775269872424</v>
      </c>
    </row>
    <row r="86" spans="2:25" ht="17.25">
      <c r="B86" s="22" t="s">
        <v>40</v>
      </c>
      <c r="C86" s="59"/>
      <c r="D86" s="127">
        <v>0</v>
      </c>
      <c r="E86" s="127">
        <v>0</v>
      </c>
      <c r="F86" s="128">
        <v>-2.6300000000000003</v>
      </c>
      <c r="G86" s="129">
        <v>-2.6300000000000003</v>
      </c>
      <c r="H86" s="216"/>
      <c r="I86" s="131">
        <v>-2.6300000000000003</v>
      </c>
      <c r="J86" s="151"/>
      <c r="K86" s="131"/>
      <c r="L86" s="131"/>
      <c r="M86" s="131"/>
      <c r="N86" s="131">
        <v>-10.18</v>
      </c>
      <c r="O86" s="131">
        <v>10.18</v>
      </c>
      <c r="P86" s="151">
        <v>0</v>
      </c>
      <c r="Q86" s="131">
        <v>-10.18</v>
      </c>
      <c r="R86" s="131">
        <v>7.549999999999999</v>
      </c>
      <c r="S86" s="151">
        <v>0.25834970530451873</v>
      </c>
      <c r="T86" s="129">
        <v>0</v>
      </c>
      <c r="U86" s="132">
        <v>0</v>
      </c>
      <c r="V86" s="131">
        <v>0</v>
      </c>
      <c r="W86" s="151"/>
      <c r="X86" s="197">
        <f>#N/A</f>
        <v>0.25834970530451873</v>
      </c>
      <c r="Y86" s="260">
        <f>#N/A</f>
        <v>0.25834970530451873</v>
      </c>
    </row>
    <row r="87" spans="2:25" ht="45.75">
      <c r="B87" s="22" t="s">
        <v>32</v>
      </c>
      <c r="C87" s="90">
        <v>21110000</v>
      </c>
      <c r="D87" s="127">
        <v>0</v>
      </c>
      <c r="E87" s="127">
        <v>0</v>
      </c>
      <c r="F87" s="128">
        <v>35.57</v>
      </c>
      <c r="G87" s="129">
        <v>35.57</v>
      </c>
      <c r="H87" s="216"/>
      <c r="I87" s="131">
        <v>35.57</v>
      </c>
      <c r="J87" s="151"/>
      <c r="K87" s="131"/>
      <c r="L87" s="131"/>
      <c r="M87" s="131"/>
      <c r="N87" s="131">
        <v>0</v>
      </c>
      <c r="O87" s="131">
        <v>0</v>
      </c>
      <c r="P87" s="151" t="e">
        <v>#DIV/0!</v>
      </c>
      <c r="Q87" s="131">
        <v>0</v>
      </c>
      <c r="R87" s="131">
        <v>35.57</v>
      </c>
      <c r="S87" s="147"/>
      <c r="T87" s="130">
        <v>0</v>
      </c>
      <c r="U87" s="174">
        <v>0</v>
      </c>
      <c r="V87" s="131">
        <v>0</v>
      </c>
      <c r="W87" s="151"/>
      <c r="X87" s="197"/>
      <c r="Y87" s="260" t="e">
        <f>#N/A</f>
        <v>#DIV/0!</v>
      </c>
    </row>
    <row r="88" spans="2:25" ht="31.5">
      <c r="B88" s="20" t="s">
        <v>28</v>
      </c>
      <c r="C88" s="58">
        <v>31030000</v>
      </c>
      <c r="D88" s="125">
        <v>16036.455000000002</v>
      </c>
      <c r="E88" s="125">
        <v>16036.455000000002</v>
      </c>
      <c r="F88" s="126">
        <v>938.14</v>
      </c>
      <c r="G88" s="112">
        <v>-15098.315000000002</v>
      </c>
      <c r="H88" s="213">
        <v>0.05850046035735453</v>
      </c>
      <c r="I88" s="117">
        <v>-15098.315000000002</v>
      </c>
      <c r="J88" s="147">
        <v>0.05850046035735453</v>
      </c>
      <c r="K88" s="117"/>
      <c r="L88" s="117"/>
      <c r="M88" s="117"/>
      <c r="N88" s="117">
        <v>4618.99</v>
      </c>
      <c r="O88" s="117">
        <v>11417.465000000002</v>
      </c>
      <c r="P88" s="147">
        <v>3.4718531540444992</v>
      </c>
      <c r="Q88" s="117">
        <v>4618.99</v>
      </c>
      <c r="R88" s="117">
        <v>-3680.85</v>
      </c>
      <c r="S88" s="147">
        <v>0.20310500780473653</v>
      </c>
      <c r="T88" s="107">
        <v>-39807.055</v>
      </c>
      <c r="U88" s="110">
        <v>0.03999999999996362</v>
      </c>
      <c r="V88" s="117">
        <v>39807.095</v>
      </c>
      <c r="W88" s="147">
        <v>-1.004847005134231E-06</v>
      </c>
      <c r="X88" s="197">
        <f>#N/A</f>
        <v>-3.2687481462397625</v>
      </c>
      <c r="Y88" s="260">
        <f>#N/A</f>
        <v>-3.2687481462397625</v>
      </c>
    </row>
    <row r="89" spans="2:25" ht="18">
      <c r="B89" s="20" t="s">
        <v>29</v>
      </c>
      <c r="C89" s="58">
        <v>33010000</v>
      </c>
      <c r="D89" s="125">
        <v>54000</v>
      </c>
      <c r="E89" s="125">
        <v>54000</v>
      </c>
      <c r="F89" s="126">
        <v>8143.65</v>
      </c>
      <c r="G89" s="112">
        <v>-45856.35</v>
      </c>
      <c r="H89" s="213">
        <v>0.15080833333333332</v>
      </c>
      <c r="I89" s="117">
        <v>-45856.35</v>
      </c>
      <c r="J89" s="147">
        <v>0.15080833333333332</v>
      </c>
      <c r="K89" s="117"/>
      <c r="L89" s="117"/>
      <c r="M89" s="117"/>
      <c r="N89" s="117">
        <v>10435.77</v>
      </c>
      <c r="O89" s="117">
        <v>43564.229999999996</v>
      </c>
      <c r="P89" s="147">
        <v>5.174510361956999</v>
      </c>
      <c r="Q89" s="117">
        <v>10435.77</v>
      </c>
      <c r="R89" s="117">
        <v>-2292.120000000001</v>
      </c>
      <c r="S89" s="147">
        <v>0.7803592835027985</v>
      </c>
      <c r="T89" s="107">
        <v>20370</v>
      </c>
      <c r="U89" s="110">
        <v>288.65999999999985</v>
      </c>
      <c r="V89" s="117">
        <v>-20081.34</v>
      </c>
      <c r="W89" s="147">
        <v>0.014170839469808535</v>
      </c>
      <c r="X89" s="197">
        <f>#N/A</f>
        <v>-4.3941510784542</v>
      </c>
      <c r="Y89" s="260">
        <f>#N/A</f>
        <v>-4.3941510784542</v>
      </c>
    </row>
    <row r="90" spans="2:25" ht="31.5">
      <c r="B90" s="20" t="s">
        <v>48</v>
      </c>
      <c r="C90" s="58">
        <v>24170000</v>
      </c>
      <c r="D90" s="125">
        <v>79000</v>
      </c>
      <c r="E90" s="125">
        <v>79000</v>
      </c>
      <c r="F90" s="126">
        <v>17305.88</v>
      </c>
      <c r="G90" s="112">
        <v>-61694.119999999995</v>
      </c>
      <c r="H90" s="213">
        <v>0.21906177215189876</v>
      </c>
      <c r="I90" s="117">
        <v>-61694.119999999995</v>
      </c>
      <c r="J90" s="147">
        <v>0.21906177215189876</v>
      </c>
      <c r="K90" s="117"/>
      <c r="L90" s="117"/>
      <c r="M90" s="117"/>
      <c r="N90" s="117">
        <v>12593.19</v>
      </c>
      <c r="O90" s="117">
        <v>66406.81</v>
      </c>
      <c r="P90" s="147">
        <v>6.273231802267733</v>
      </c>
      <c r="Q90" s="117">
        <v>12593.19</v>
      </c>
      <c r="R90" s="117">
        <v>4712.6900000000005</v>
      </c>
      <c r="S90" s="147">
        <v>1.3742252757244193</v>
      </c>
      <c r="T90" s="107">
        <v>23700</v>
      </c>
      <c r="U90" s="110">
        <v>1599.3400000000001</v>
      </c>
      <c r="V90" s="117">
        <v>-22100.66</v>
      </c>
      <c r="W90" s="147">
        <v>0.06748270042194093</v>
      </c>
      <c r="X90" s="197">
        <f>#N/A</f>
        <v>-4.899006526543314</v>
      </c>
      <c r="Y90" s="260">
        <f>#N/A</f>
        <v>-4.899006526543314</v>
      </c>
    </row>
    <row r="91" spans="2:25" ht="18">
      <c r="B91" s="20" t="s">
        <v>88</v>
      </c>
      <c r="C91" s="58">
        <v>24110700</v>
      </c>
      <c r="D91" s="125">
        <v>12</v>
      </c>
      <c r="E91" s="125">
        <v>12</v>
      </c>
      <c r="F91" s="126">
        <v>20</v>
      </c>
      <c r="G91" s="112">
        <v>8</v>
      </c>
      <c r="H91" s="213">
        <v>1.6666666666666667</v>
      </c>
      <c r="I91" s="117">
        <v>8</v>
      </c>
      <c r="J91" s="147">
        <v>1.6666666666666667</v>
      </c>
      <c r="K91" s="117"/>
      <c r="L91" s="117"/>
      <c r="M91" s="117"/>
      <c r="N91" s="117">
        <v>13</v>
      </c>
      <c r="O91" s="117">
        <v>-1</v>
      </c>
      <c r="P91" s="147">
        <v>0.9230769230769231</v>
      </c>
      <c r="Q91" s="117">
        <v>13</v>
      </c>
      <c r="R91" s="117">
        <v>7</v>
      </c>
      <c r="S91" s="147">
        <v>1.5384615384615385</v>
      </c>
      <c r="T91" s="107">
        <v>1</v>
      </c>
      <c r="U91" s="110">
        <v>4</v>
      </c>
      <c r="V91" s="117">
        <v>3</v>
      </c>
      <c r="W91" s="147">
        <v>4</v>
      </c>
      <c r="X91" s="197">
        <f>#N/A</f>
        <v>0.6153846153846154</v>
      </c>
      <c r="Y91" s="260">
        <f>#N/A</f>
        <v>0.6153846153846154</v>
      </c>
    </row>
    <row r="92" spans="2:25" ht="33">
      <c r="B92" s="22" t="s">
        <v>46</v>
      </c>
      <c r="C92" s="53"/>
      <c r="D92" s="127">
        <v>149048.45500000002</v>
      </c>
      <c r="E92" s="127">
        <v>149048.45500000002</v>
      </c>
      <c r="F92" s="128">
        <v>26407.67</v>
      </c>
      <c r="G92" s="129">
        <v>-122640.78500000002</v>
      </c>
      <c r="H92" s="216">
        <v>0.17717506699415297</v>
      </c>
      <c r="I92" s="131">
        <v>-122640.78500000002</v>
      </c>
      <c r="J92" s="151">
        <v>0.17717506699415297</v>
      </c>
      <c r="K92" s="131"/>
      <c r="L92" s="131"/>
      <c r="M92" s="131"/>
      <c r="N92" s="131">
        <v>27660.95</v>
      </c>
      <c r="O92" s="131">
        <v>121387.50500000002</v>
      </c>
      <c r="P92" s="151">
        <v>5.388406941916312</v>
      </c>
      <c r="Q92" s="131">
        <v>27660.95</v>
      </c>
      <c r="R92" s="117">
        <v>-1253.2800000000025</v>
      </c>
      <c r="S92" s="147">
        <v>0.9546913609257816</v>
      </c>
      <c r="T92" s="129">
        <v>4263.945</v>
      </c>
      <c r="U92" s="133">
        <v>1892.04</v>
      </c>
      <c r="V92" s="131">
        <v>-2371.9049999999997</v>
      </c>
      <c r="W92" s="151">
        <v>0.4437299261599294</v>
      </c>
      <c r="X92" s="197">
        <f>#N/A</f>
        <v>-4.433715580990531</v>
      </c>
      <c r="Y92" s="260">
        <f>#N/A</f>
        <v>-4.433715580990531</v>
      </c>
    </row>
    <row r="93" spans="2:25" ht="46.5">
      <c r="B93" s="12" t="s">
        <v>35</v>
      </c>
      <c r="C93" s="60">
        <v>24062100</v>
      </c>
      <c r="D93" s="125">
        <v>40</v>
      </c>
      <c r="E93" s="125">
        <v>40</v>
      </c>
      <c r="F93" s="126">
        <v>49.17</v>
      </c>
      <c r="G93" s="112">
        <v>9.170000000000002</v>
      </c>
      <c r="H93" s="213"/>
      <c r="I93" s="117">
        <v>9.170000000000002</v>
      </c>
      <c r="J93" s="147"/>
      <c r="K93" s="117"/>
      <c r="L93" s="117"/>
      <c r="M93" s="117"/>
      <c r="N93" s="117">
        <v>69.99</v>
      </c>
      <c r="O93" s="117">
        <v>-29.989999999999995</v>
      </c>
      <c r="P93" s="147">
        <v>0.5715102157451065</v>
      </c>
      <c r="Q93" s="117">
        <v>69.99</v>
      </c>
      <c r="R93" s="117">
        <v>-20.819999999999993</v>
      </c>
      <c r="S93" s="147">
        <v>0.7025289327046722</v>
      </c>
      <c r="T93" s="107">
        <v>6</v>
      </c>
      <c r="U93" s="110">
        <v>0</v>
      </c>
      <c r="V93" s="117">
        <v>-6</v>
      </c>
      <c r="W93" s="147"/>
      <c r="X93" s="197">
        <f>#N/A</f>
        <v>0.13101871695956568</v>
      </c>
      <c r="Y93" s="260">
        <f>#N/A</f>
        <v>0.13101871695956568</v>
      </c>
    </row>
    <row r="94" spans="2:25" ht="18" hidden="1">
      <c r="B94" s="166" t="s">
        <v>47</v>
      </c>
      <c r="C94" s="58">
        <v>24061600</v>
      </c>
      <c r="D94" s="125">
        <v>0</v>
      </c>
      <c r="E94" s="125">
        <v>0</v>
      </c>
      <c r="F94" s="126">
        <v>0</v>
      </c>
      <c r="G94" s="112">
        <v>0</v>
      </c>
      <c r="H94" s="213"/>
      <c r="I94" s="117">
        <v>0</v>
      </c>
      <c r="J94" s="224"/>
      <c r="K94" s="134"/>
      <c r="L94" s="134"/>
      <c r="M94" s="134"/>
      <c r="N94" s="134"/>
      <c r="O94" s="117">
        <v>0</v>
      </c>
      <c r="P94" s="147" t="e">
        <v>#DIV/0!</v>
      </c>
      <c r="Q94" s="117">
        <v>0</v>
      </c>
      <c r="R94" s="117">
        <v>0</v>
      </c>
      <c r="S94" s="147" t="e">
        <v>#DIV/0!</v>
      </c>
      <c r="T94" s="107">
        <v>0</v>
      </c>
      <c r="U94" s="110">
        <v>0</v>
      </c>
      <c r="V94" s="117">
        <v>0</v>
      </c>
      <c r="W94" s="224"/>
      <c r="X94" s="197" t="e">
        <f>#N/A</f>
        <v>#DIV/0!</v>
      </c>
      <c r="Y94" s="260" t="e">
        <f>#N/A</f>
        <v>#DIV/0!</v>
      </c>
    </row>
    <row r="95" spans="2:25" ht="18">
      <c r="B95" s="20" t="s">
        <v>41</v>
      </c>
      <c r="C95" s="58">
        <v>19010000</v>
      </c>
      <c r="D95" s="125">
        <v>8360</v>
      </c>
      <c r="E95" s="125">
        <v>8360</v>
      </c>
      <c r="F95" s="126">
        <v>8033.94</v>
      </c>
      <c r="G95" s="112">
        <v>-326.0600000000004</v>
      </c>
      <c r="H95" s="213">
        <v>0.9609976076555024</v>
      </c>
      <c r="I95" s="117">
        <v>-326.0600000000004</v>
      </c>
      <c r="J95" s="147">
        <v>0.9609976076555024</v>
      </c>
      <c r="K95" s="117"/>
      <c r="L95" s="117"/>
      <c r="M95" s="117"/>
      <c r="N95" s="117">
        <v>8352.68</v>
      </c>
      <c r="O95" s="117">
        <v>7.319999999999709</v>
      </c>
      <c r="P95" s="147">
        <v>1.0008763654300177</v>
      </c>
      <c r="Q95" s="117">
        <v>8352.68</v>
      </c>
      <c r="R95" s="117">
        <v>-318.7400000000007</v>
      </c>
      <c r="S95" s="147">
        <v>0.9618397927371812</v>
      </c>
      <c r="T95" s="107">
        <v>0.5</v>
      </c>
      <c r="U95" s="110">
        <v>0.9899999999997817</v>
      </c>
      <c r="V95" s="117">
        <v>0.4899999999997817</v>
      </c>
      <c r="W95" s="147">
        <v>1.9799999999995634</v>
      </c>
      <c r="X95" s="197">
        <f>#N/A</f>
        <v>-0.039036572692836446</v>
      </c>
      <c r="Y95" s="260">
        <f>#N/A</f>
        <v>-0.039036572692836446</v>
      </c>
    </row>
    <row r="96" spans="2:25" ht="31.5">
      <c r="B96" s="20" t="s">
        <v>45</v>
      </c>
      <c r="C96" s="58">
        <v>19050000</v>
      </c>
      <c r="D96" s="125">
        <v>0</v>
      </c>
      <c r="E96" s="125">
        <v>0</v>
      </c>
      <c r="F96" s="126">
        <v>0.1</v>
      </c>
      <c r="G96" s="112">
        <v>0.1</v>
      </c>
      <c r="H96" s="213"/>
      <c r="I96" s="117">
        <v>0.1</v>
      </c>
      <c r="J96" s="147"/>
      <c r="K96" s="117"/>
      <c r="L96" s="117"/>
      <c r="M96" s="117"/>
      <c r="N96" s="117">
        <v>1.48</v>
      </c>
      <c r="O96" s="117">
        <v>-1.48</v>
      </c>
      <c r="P96" s="147">
        <v>0</v>
      </c>
      <c r="Q96" s="117">
        <v>1.48</v>
      </c>
      <c r="R96" s="117">
        <v>-1.38</v>
      </c>
      <c r="S96" s="147">
        <v>0.06756756756756757</v>
      </c>
      <c r="T96" s="107">
        <v>0</v>
      </c>
      <c r="U96" s="110">
        <v>0</v>
      </c>
      <c r="V96" s="117">
        <v>0</v>
      </c>
      <c r="W96" s="224"/>
      <c r="X96" s="197">
        <f>#N/A</f>
        <v>0.06756756756756757</v>
      </c>
      <c r="Y96" s="260">
        <f>#N/A</f>
        <v>0.06756756756756757</v>
      </c>
    </row>
    <row r="97" spans="2:25" ht="30.75">
      <c r="B97" s="22" t="s">
        <v>42</v>
      </c>
      <c r="C97" s="58"/>
      <c r="D97" s="127">
        <v>8400</v>
      </c>
      <c r="E97" s="127">
        <v>8400</v>
      </c>
      <c r="F97" s="128">
        <v>8083.21</v>
      </c>
      <c r="G97" s="129">
        <v>-316.78999999999996</v>
      </c>
      <c r="H97" s="216">
        <v>0.9622869047619048</v>
      </c>
      <c r="I97" s="131">
        <v>-316.78999999999996</v>
      </c>
      <c r="J97" s="151">
        <v>0.9622869047619048</v>
      </c>
      <c r="K97" s="131"/>
      <c r="L97" s="131"/>
      <c r="M97" s="131"/>
      <c r="N97" s="131">
        <v>8424.15</v>
      </c>
      <c r="O97" s="131">
        <v>-24.149999999999636</v>
      </c>
      <c r="P97" s="151">
        <v>0.9971332419294529</v>
      </c>
      <c r="Q97" s="131">
        <v>8424.15</v>
      </c>
      <c r="R97" s="117">
        <v>-340.9399999999996</v>
      </c>
      <c r="S97" s="147">
        <v>0.9595282610114968</v>
      </c>
      <c r="T97" s="129">
        <v>6.5</v>
      </c>
      <c r="U97" s="133">
        <v>0.9899999999997817</v>
      </c>
      <c r="V97" s="131">
        <v>-5.510000000000218</v>
      </c>
      <c r="W97" s="151">
        <v>0.15230769230765873</v>
      </c>
      <c r="X97" s="197">
        <f>#N/A</f>
        <v>-0.037604980917956055</v>
      </c>
      <c r="Y97" s="260">
        <f>#N/A</f>
        <v>-0.037604980917956055</v>
      </c>
    </row>
    <row r="98" spans="2:25" ht="30.75">
      <c r="B98" s="12" t="s">
        <v>36</v>
      </c>
      <c r="C98" s="34">
        <v>24110900</v>
      </c>
      <c r="D98" s="125">
        <v>38</v>
      </c>
      <c r="E98" s="125">
        <v>38</v>
      </c>
      <c r="F98" s="126">
        <v>37.96</v>
      </c>
      <c r="G98" s="112">
        <v>-0.03999999999999915</v>
      </c>
      <c r="H98" s="213">
        <v>0.9989473684210527</v>
      </c>
      <c r="I98" s="117">
        <v>-0.03999999999999915</v>
      </c>
      <c r="J98" s="147">
        <v>0.9989473684210527</v>
      </c>
      <c r="K98" s="117"/>
      <c r="L98" s="117"/>
      <c r="M98" s="117"/>
      <c r="N98" s="117">
        <v>35.33</v>
      </c>
      <c r="O98" s="117">
        <v>2.6700000000000017</v>
      </c>
      <c r="P98" s="147">
        <v>1.075573167279932</v>
      </c>
      <c r="Q98" s="131">
        <v>35.33</v>
      </c>
      <c r="R98" s="117">
        <v>2.6300000000000026</v>
      </c>
      <c r="S98" s="147">
        <v>1.0744409849985848</v>
      </c>
      <c r="T98" s="107">
        <v>0</v>
      </c>
      <c r="U98" s="110">
        <v>8.93</v>
      </c>
      <c r="V98" s="117">
        <v>8.93</v>
      </c>
      <c r="W98" s="147" t="e">
        <v>#DIV/0!</v>
      </c>
      <c r="X98" s="197">
        <f>#N/A</f>
        <v>-0.0011321822813472604</v>
      </c>
      <c r="Y98" s="260">
        <f>#N/A</f>
        <v>-0.0011321822813472604</v>
      </c>
    </row>
    <row r="99" spans="2:25" ht="18" hidden="1">
      <c r="B99" s="83"/>
      <c r="C99" s="34">
        <v>21110000</v>
      </c>
      <c r="D99" s="125">
        <v>0</v>
      </c>
      <c r="E99" s="125">
        <v>0</v>
      </c>
      <c r="F99" s="126"/>
      <c r="G99" s="112" t="e">
        <v>#N/A</v>
      </c>
      <c r="H99" s="213"/>
      <c r="I99" s="117" t="e">
        <v>#N/A</v>
      </c>
      <c r="J99" s="147"/>
      <c r="K99" s="117"/>
      <c r="L99" s="117"/>
      <c r="M99" s="117"/>
      <c r="N99" s="117"/>
      <c r="O99" s="117"/>
      <c r="P99" s="147"/>
      <c r="Q99" s="117">
        <v>18.76</v>
      </c>
      <c r="R99" s="131" t="e">
        <v>#N/A</v>
      </c>
      <c r="S99" s="147">
        <v>0</v>
      </c>
      <c r="T99" s="114">
        <v>0</v>
      </c>
      <c r="U99" s="118">
        <v>0</v>
      </c>
      <c r="V99" s="117" t="e">
        <v>#N/A</v>
      </c>
      <c r="W99" s="147"/>
      <c r="X99" s="197">
        <f>#N/A</f>
        <v>0</v>
      </c>
      <c r="Y99" s="260">
        <f>#N/A</f>
        <v>0</v>
      </c>
    </row>
    <row r="100" spans="2:25" ht="23.25" customHeight="1">
      <c r="B100" s="181" t="s">
        <v>30</v>
      </c>
      <c r="C100" s="182"/>
      <c r="D100" s="183">
        <v>157486.45500000002</v>
      </c>
      <c r="E100" s="183">
        <v>157486.45500000002</v>
      </c>
      <c r="F100" s="183">
        <v>34561.78</v>
      </c>
      <c r="G100" s="184">
        <v>-122924.67500000002</v>
      </c>
      <c r="H100" s="217">
        <v>0.21945874646806923</v>
      </c>
      <c r="I100" s="177">
        <v>-122924.67500000002</v>
      </c>
      <c r="J100" s="178">
        <v>0.21945874646806923</v>
      </c>
      <c r="K100" s="177"/>
      <c r="L100" s="177"/>
      <c r="M100" s="177"/>
      <c r="N100" s="177">
        <v>36110.25</v>
      </c>
      <c r="O100" s="177">
        <v>121376.20500000002</v>
      </c>
      <c r="P100" s="178">
        <v>4.361267368683407</v>
      </c>
      <c r="Q100" s="183">
        <v>36110.25</v>
      </c>
      <c r="R100" s="177">
        <v>-1548.4700000000012</v>
      </c>
      <c r="S100" s="178">
        <v>0.9571182697433553</v>
      </c>
      <c r="T100" s="183">
        <v>4270.445</v>
      </c>
      <c r="U100" s="183">
        <v>1901.9599999999998</v>
      </c>
      <c r="V100" s="177">
        <v>-2368.4849999999997</v>
      </c>
      <c r="W100" s="178">
        <v>0.44537747237114633</v>
      </c>
      <c r="X100" s="197">
        <f>S100-P100</f>
        <v>-3.404149098940052</v>
      </c>
      <c r="Y100" s="259">
        <f>#N/A</f>
        <v>-3.404149098940052</v>
      </c>
    </row>
    <row r="101" spans="2:25" ht="17.25">
      <c r="B101" s="185" t="s">
        <v>103</v>
      </c>
      <c r="C101" s="182"/>
      <c r="D101" s="183">
        <v>1556377.5550000002</v>
      </c>
      <c r="E101" s="183">
        <v>1556377.5550000002</v>
      </c>
      <c r="F101" s="183">
        <v>1433558.25</v>
      </c>
      <c r="G101" s="184">
        <v>-122819.30500000017</v>
      </c>
      <c r="H101" s="217">
        <v>0.9210864326554746</v>
      </c>
      <c r="I101" s="177">
        <v>-122819.30500000017</v>
      </c>
      <c r="J101" s="178">
        <v>0.9210864326554746</v>
      </c>
      <c r="K101" s="177"/>
      <c r="L101" s="177"/>
      <c r="M101" s="177"/>
      <c r="N101" s="177">
        <v>1089679.76</v>
      </c>
      <c r="O101" s="177">
        <v>466697.79500000016</v>
      </c>
      <c r="P101" s="178">
        <v>1.4282889451851433</v>
      </c>
      <c r="Q101" s="177">
        <v>1089679.76</v>
      </c>
      <c r="R101" s="177">
        <v>343878.49</v>
      </c>
      <c r="S101" s="178">
        <v>1.3155775693218346</v>
      </c>
      <c r="T101" s="184">
        <v>158404.24500000002</v>
      </c>
      <c r="U101" s="184">
        <v>131986.79000000012</v>
      </c>
      <c r="V101" s="177">
        <v>-26417.4549999999</v>
      </c>
      <c r="W101" s="178">
        <v>0.8332276070000529</v>
      </c>
      <c r="X101" s="197">
        <f>S101-P101</f>
        <v>-0.1127113758633087</v>
      </c>
      <c r="Y101" s="259">
        <f>#N/A</f>
        <v>-0.1127113758633087</v>
      </c>
    </row>
    <row r="102" spans="2:25" ht="15">
      <c r="B102" s="262" t="s">
        <v>159</v>
      </c>
      <c r="U102" s="263"/>
      <c r="X102" s="197"/>
      <c r="Y102" s="260">
        <f>#N/A</f>
        <v>0</v>
      </c>
    </row>
    <row r="103" spans="2:25" ht="15">
      <c r="B103" s="4" t="s">
        <v>160</v>
      </c>
      <c r="C103" s="264">
        <v>0</v>
      </c>
      <c r="D103" s="4" t="s">
        <v>161</v>
      </c>
      <c r="U103" s="265"/>
      <c r="X103" s="197"/>
      <c r="Y103" s="260">
        <f>#N/A</f>
        <v>0</v>
      </c>
    </row>
    <row r="104" spans="2:25" ht="30.75">
      <c r="B104" s="266" t="s">
        <v>162</v>
      </c>
      <c r="C104" s="267" t="e">
        <v>#DIV/0!</v>
      </c>
      <c r="D104" s="4" t="s">
        <v>24</v>
      </c>
      <c r="G104" s="512"/>
      <c r="H104" s="512"/>
      <c r="I104" s="512"/>
      <c r="J104" s="512"/>
      <c r="K104" s="268"/>
      <c r="L104" s="268"/>
      <c r="M104" s="268"/>
      <c r="N104" s="268"/>
      <c r="O104" s="268"/>
      <c r="P104" s="269"/>
      <c r="Q104" s="268"/>
      <c r="R104" s="268"/>
      <c r="S104" s="268"/>
      <c r="W104" s="263"/>
      <c r="X104" s="197"/>
      <c r="Y104" s="260">
        <f>#N/A</f>
        <v>0</v>
      </c>
    </row>
    <row r="105" spans="2:25" ht="34.5" customHeight="1">
      <c r="B105" s="270" t="s">
        <v>163</v>
      </c>
      <c r="C105" s="271">
        <v>43098</v>
      </c>
      <c r="D105" s="267">
        <v>2330.8</v>
      </c>
      <c r="G105" s="4" t="s">
        <v>164</v>
      </c>
      <c r="U105" s="513"/>
      <c r="V105" s="513"/>
      <c r="X105" s="197"/>
      <c r="Y105" s="260">
        <f>#N/A</f>
        <v>0</v>
      </c>
    </row>
    <row r="106" spans="3:25" ht="15">
      <c r="C106" s="271">
        <v>43097</v>
      </c>
      <c r="D106" s="267">
        <v>15629.9</v>
      </c>
      <c r="G106" s="500"/>
      <c r="H106" s="500"/>
      <c r="I106" s="273"/>
      <c r="J106" s="274"/>
      <c r="K106" s="274"/>
      <c r="L106" s="274"/>
      <c r="M106" s="274"/>
      <c r="N106" s="274"/>
      <c r="O106" s="274"/>
      <c r="P106" s="275"/>
      <c r="Q106" s="274"/>
      <c r="R106" s="274"/>
      <c r="S106" s="274"/>
      <c r="T106" s="274"/>
      <c r="U106" s="513"/>
      <c r="V106" s="513"/>
      <c r="X106" s="197"/>
      <c r="Y106" s="260">
        <f>#N/A</f>
        <v>0</v>
      </c>
    </row>
    <row r="107" spans="3:25" ht="15.75" customHeight="1">
      <c r="C107" s="271">
        <v>43096</v>
      </c>
      <c r="D107" s="267">
        <v>15417.7</v>
      </c>
      <c r="G107" s="500"/>
      <c r="H107" s="500"/>
      <c r="I107" s="273"/>
      <c r="J107" s="276"/>
      <c r="K107" s="276"/>
      <c r="L107" s="276"/>
      <c r="M107" s="276"/>
      <c r="N107" s="276"/>
      <c r="O107" s="276"/>
      <c r="P107" s="277"/>
      <c r="Q107" s="276"/>
      <c r="R107" s="276"/>
      <c r="S107" s="276"/>
      <c r="T107" s="276"/>
      <c r="U107" s="513"/>
      <c r="V107" s="513"/>
      <c r="X107" s="197"/>
      <c r="Y107" s="260">
        <f>#N/A</f>
        <v>0</v>
      </c>
    </row>
    <row r="108" spans="3:25" ht="15.75" customHeight="1">
      <c r="C108" s="271"/>
      <c r="F108" s="278"/>
      <c r="G108" s="501"/>
      <c r="H108" s="501"/>
      <c r="I108" s="279"/>
      <c r="J108" s="274"/>
      <c r="K108" s="274"/>
      <c r="L108" s="274"/>
      <c r="M108" s="274"/>
      <c r="N108" s="274"/>
      <c r="O108" s="274"/>
      <c r="P108" s="275"/>
      <c r="Q108" s="274"/>
      <c r="R108" s="274"/>
      <c r="S108" s="274"/>
      <c r="T108" s="274"/>
      <c r="X108" s="197"/>
      <c r="Y108" s="260">
        <f>#N/A</f>
        <v>0</v>
      </c>
    </row>
    <row r="109" spans="2:25" ht="18" customHeight="1">
      <c r="B109" s="502" t="s">
        <v>165</v>
      </c>
      <c r="C109" s="503"/>
      <c r="D109" s="280">
        <f>3396166.95/1000</f>
        <v>3396.1669500000003</v>
      </c>
      <c r="E109" s="281"/>
      <c r="F109" s="282" t="s">
        <v>166</v>
      </c>
      <c r="G109" s="500"/>
      <c r="H109" s="500"/>
      <c r="I109" s="283"/>
      <c r="J109" s="274"/>
      <c r="K109" s="274"/>
      <c r="L109" s="274"/>
      <c r="M109" s="274"/>
      <c r="N109" s="274"/>
      <c r="O109" s="274"/>
      <c r="P109" s="275"/>
      <c r="Q109" s="274"/>
      <c r="R109" s="274"/>
      <c r="S109" s="274"/>
      <c r="T109" s="274"/>
      <c r="X109" s="197"/>
      <c r="Y109" s="260">
        <f>#N/A</f>
        <v>0</v>
      </c>
    </row>
    <row r="110" spans="6:25" ht="9.75" customHeight="1">
      <c r="F110" s="278"/>
      <c r="G110" s="500"/>
      <c r="H110" s="500"/>
      <c r="I110" s="278"/>
      <c r="J110" s="281"/>
      <c r="K110" s="281"/>
      <c r="L110" s="281"/>
      <c r="M110" s="281"/>
      <c r="N110" s="281"/>
      <c r="O110" s="281"/>
      <c r="P110" s="284"/>
      <c r="Q110" s="281"/>
      <c r="R110" s="281"/>
      <c r="S110" s="281"/>
      <c r="X110" s="197"/>
      <c r="Y110" s="260">
        <f>#N/A</f>
        <v>0</v>
      </c>
    </row>
    <row r="111" spans="2:25" ht="22.5" customHeight="1" hidden="1">
      <c r="B111" s="499" t="s">
        <v>167</v>
      </c>
      <c r="C111" s="514"/>
      <c r="D111" s="285">
        <v>0</v>
      </c>
      <c r="E111" s="286" t="s">
        <v>24</v>
      </c>
      <c r="F111" s="278"/>
      <c r="G111" s="500"/>
      <c r="H111" s="500"/>
      <c r="I111" s="278"/>
      <c r="J111" s="281"/>
      <c r="K111" s="281"/>
      <c r="L111" s="281"/>
      <c r="M111" s="281"/>
      <c r="N111" s="281"/>
      <c r="O111" s="281"/>
      <c r="P111" s="284"/>
      <c r="Q111" s="226"/>
      <c r="R111" s="226"/>
      <c r="S111" s="226"/>
      <c r="T111" s="3"/>
      <c r="U111" s="3"/>
      <c r="V111" s="3"/>
      <c r="W111" s="3"/>
      <c r="X111" s="197"/>
      <c r="Y111" s="260">
        <f>#N/A</f>
        <v>0</v>
      </c>
    </row>
    <row r="112" spans="2:25" ht="15" hidden="1">
      <c r="B112" s="287" t="s">
        <v>168</v>
      </c>
      <c r="D112" s="278">
        <v>1887</v>
      </c>
      <c r="E112" s="278">
        <v>1887</v>
      </c>
      <c r="F112" s="288">
        <v>1956.6200000000001</v>
      </c>
      <c r="G112" s="278">
        <v>69.62000000000006</v>
      </c>
      <c r="H112" s="281"/>
      <c r="I112" s="281"/>
      <c r="Q112" s="3"/>
      <c r="R112" s="3"/>
      <c r="S112" s="3"/>
      <c r="T112" s="78"/>
      <c r="U112" s="78"/>
      <c r="V112" s="78"/>
      <c r="W112" s="3"/>
      <c r="X112" s="197"/>
      <c r="Y112" s="260">
        <f>#N/A</f>
        <v>0</v>
      </c>
    </row>
    <row r="113" spans="4:25" ht="15" hidden="1">
      <c r="D113" s="265"/>
      <c r="I113" s="267"/>
      <c r="Q113" s="3"/>
      <c r="R113" s="3"/>
      <c r="S113" s="3"/>
      <c r="T113" s="3"/>
      <c r="U113" s="515"/>
      <c r="V113" s="515"/>
      <c r="W113" s="3"/>
      <c r="X113" s="197"/>
      <c r="Y113" s="260">
        <f>#N/A</f>
        <v>0</v>
      </c>
    </row>
    <row r="114" spans="2:25" ht="15" hidden="1">
      <c r="B114" s="4" t="s">
        <v>169</v>
      </c>
      <c r="D114" s="267">
        <v>1333609.6</v>
      </c>
      <c r="E114" s="267">
        <v>1333609.6</v>
      </c>
      <c r="F114" s="289">
        <v>1332268.81</v>
      </c>
      <c r="G114" s="267">
        <v>-1340.7900000000373</v>
      </c>
      <c r="H114" s="163">
        <v>0.998994615815603</v>
      </c>
      <c r="I114" s="267">
        <v>-1340.7900000000373</v>
      </c>
      <c r="J114" s="163">
        <v>0.998994615815603</v>
      </c>
      <c r="K114" s="163"/>
      <c r="L114" s="163"/>
      <c r="M114" s="163"/>
      <c r="N114" s="163"/>
      <c r="O114" s="163"/>
      <c r="Q114" s="3"/>
      <c r="R114" s="3"/>
      <c r="S114" s="3"/>
      <c r="T114" s="78"/>
      <c r="U114" s="78"/>
      <c r="V114" s="78"/>
      <c r="W114" s="290"/>
      <c r="X114" s="197"/>
      <c r="Y114" s="260">
        <f>#N/A</f>
        <v>0</v>
      </c>
    </row>
    <row r="115" spans="2:25" ht="15" hidden="1">
      <c r="B115" s="4" t="s">
        <v>170</v>
      </c>
      <c r="D115" s="267">
        <v>65258.5</v>
      </c>
      <c r="E115" s="267">
        <v>65258.5</v>
      </c>
      <c r="F115" s="289">
        <v>66703.79</v>
      </c>
      <c r="G115" s="267">
        <v>1450.1500000000003</v>
      </c>
      <c r="H115" s="163">
        <v>1.0221471532444049</v>
      </c>
      <c r="I115" s="267">
        <v>1450.1500000000003</v>
      </c>
      <c r="J115" s="163">
        <v>1.0221471532444049</v>
      </c>
      <c r="K115" s="163"/>
      <c r="L115" s="163"/>
      <c r="M115" s="163"/>
      <c r="N115" s="163"/>
      <c r="O115" s="163"/>
      <c r="Q115" s="78"/>
      <c r="R115" s="78"/>
      <c r="S115" s="78"/>
      <c r="T115" s="78"/>
      <c r="U115" s="78"/>
      <c r="V115" s="78"/>
      <c r="W115" s="290"/>
      <c r="X115" s="197"/>
      <c r="Y115" s="260">
        <f>#N/A</f>
        <v>0</v>
      </c>
    </row>
    <row r="116" spans="2:25" ht="15" hidden="1">
      <c r="B116" s="4" t="s">
        <v>171</v>
      </c>
      <c r="D116" s="267">
        <v>1398868.1</v>
      </c>
      <c r="E116" s="267">
        <v>1398868.1</v>
      </c>
      <c r="F116" s="267">
        <v>1398972.6</v>
      </c>
      <c r="G116" s="267">
        <v>109.35999999996307</v>
      </c>
      <c r="H116" s="163">
        <v>1.0000747032547244</v>
      </c>
      <c r="I116" s="267">
        <v>109.35999999996307</v>
      </c>
      <c r="J116" s="163">
        <v>1.0000747032547244</v>
      </c>
      <c r="K116" s="163"/>
      <c r="L116" s="163"/>
      <c r="M116" s="163"/>
      <c r="N116" s="163"/>
      <c r="O116" s="163"/>
      <c r="Q116" s="78"/>
      <c r="R116" s="78"/>
      <c r="S116" s="78"/>
      <c r="T116" s="78"/>
      <c r="U116" s="78"/>
      <c r="V116" s="78"/>
      <c r="W116" s="290"/>
      <c r="X116" s="197"/>
      <c r="Y116" s="260">
        <f>#N/A</f>
        <v>0</v>
      </c>
    </row>
    <row r="117" spans="4:25" ht="15" hidden="1">
      <c r="D117" s="267">
        <v>23</v>
      </c>
      <c r="E117" s="267" t="e">
        <v>#N/A</v>
      </c>
      <c r="F117" s="267" t="e">
        <v>#N/A</v>
      </c>
      <c r="G117" s="267" t="e">
        <v>#N/A</v>
      </c>
      <c r="H117" s="163"/>
      <c r="I117" s="267" t="e">
        <v>#N/A</v>
      </c>
      <c r="J117" s="163"/>
      <c r="K117" s="163"/>
      <c r="L117" s="163"/>
      <c r="M117" s="163"/>
      <c r="N117" s="163"/>
      <c r="O117" s="163"/>
      <c r="Q117" s="78"/>
      <c r="R117" s="78"/>
      <c r="S117" s="78"/>
      <c r="T117" s="78"/>
      <c r="U117" s="78"/>
      <c r="V117" s="78"/>
      <c r="W117" s="78"/>
      <c r="X117" s="197"/>
      <c r="Y117" s="260">
        <f>#N/A</f>
        <v>0</v>
      </c>
    </row>
    <row r="118" spans="5:25" ht="15" hidden="1">
      <c r="E118" s="4" t="s">
        <v>164</v>
      </c>
      <c r="Q118" s="3"/>
      <c r="R118" s="3"/>
      <c r="S118" s="3"/>
      <c r="T118" s="3"/>
      <c r="U118" s="3"/>
      <c r="V118" s="3"/>
      <c r="W118" s="3"/>
      <c r="X118" s="197"/>
      <c r="Y118" s="260">
        <f>#N/A</f>
        <v>0</v>
      </c>
    </row>
    <row r="119" spans="2:25" ht="15" hidden="1">
      <c r="B119" s="272" t="s">
        <v>172</v>
      </c>
      <c r="E119" s="267">
        <v>157106.5000000001</v>
      </c>
      <c r="X119" s="197"/>
      <c r="Y119" s="260">
        <f>#N/A</f>
        <v>0</v>
      </c>
    </row>
    <row r="120" spans="2:25" ht="15" hidden="1">
      <c r="B120" s="272" t="s">
        <v>173</v>
      </c>
      <c r="E120" s="267">
        <v>79090</v>
      </c>
      <c r="X120" s="197"/>
      <c r="Y120" s="260">
        <f>#N/A</f>
        <v>0</v>
      </c>
    </row>
    <row r="121" spans="24:25" ht="15" hidden="1">
      <c r="X121" s="197"/>
      <c r="Y121" s="260">
        <f>#N/A</f>
        <v>0</v>
      </c>
    </row>
    <row r="122" spans="2:25" ht="18" hidden="1">
      <c r="B122" s="83" t="s">
        <v>174</v>
      </c>
      <c r="C122" s="34">
        <v>25000000</v>
      </c>
      <c r="D122" s="125">
        <v>72408.22</v>
      </c>
      <c r="E122" s="125">
        <v>18102.06</v>
      </c>
      <c r="F122" s="126">
        <v>20254.32</v>
      </c>
      <c r="G122" s="112">
        <v>2152.2599999999984</v>
      </c>
      <c r="H122" s="114">
        <v>111.88958604711286</v>
      </c>
      <c r="I122" s="117">
        <v>-52153.9</v>
      </c>
      <c r="J122" s="117">
        <v>27.972404238082362</v>
      </c>
      <c r="K122" s="117"/>
      <c r="L122" s="117"/>
      <c r="M122" s="117"/>
      <c r="N122" s="117"/>
      <c r="O122" s="117"/>
      <c r="P122" s="147"/>
      <c r="Q122" s="117"/>
      <c r="R122" s="117"/>
      <c r="S122" s="291"/>
      <c r="T122" s="292"/>
      <c r="U122" s="292"/>
      <c r="V122" s="293"/>
      <c r="W122" s="293"/>
      <c r="X122" s="197"/>
      <c r="Y122" s="260">
        <f>#N/A</f>
        <v>0</v>
      </c>
    </row>
    <row r="123" spans="2:25" ht="23.25" customHeight="1" hidden="1">
      <c r="B123" s="13" t="s">
        <v>30</v>
      </c>
      <c r="C123" s="294"/>
      <c r="D123" s="295">
        <v>229894.67500000002</v>
      </c>
      <c r="E123" s="295">
        <v>175588.515</v>
      </c>
      <c r="F123" s="295">
        <v>54816.1</v>
      </c>
      <c r="G123" s="296">
        <v>-120772.41500000001</v>
      </c>
      <c r="H123" s="297">
        <v>31.218499683763483</v>
      </c>
      <c r="I123" s="135">
        <v>-175078.575</v>
      </c>
      <c r="J123" s="135">
        <v>23.844005956205812</v>
      </c>
      <c r="K123" s="135"/>
      <c r="L123" s="135"/>
      <c r="M123" s="135"/>
      <c r="N123" s="135"/>
      <c r="O123" s="135"/>
      <c r="P123" s="298"/>
      <c r="Q123" s="135">
        <v>3039.87</v>
      </c>
      <c r="R123" s="135">
        <v>51776.229999999996</v>
      </c>
      <c r="S123" s="299">
        <v>18.03238296374516</v>
      </c>
      <c r="T123" s="300"/>
      <c r="U123" s="300"/>
      <c r="V123" s="301"/>
      <c r="W123" s="301"/>
      <c r="X123" s="197"/>
      <c r="Y123" s="260">
        <f>#N/A</f>
        <v>18.03238296374516</v>
      </c>
    </row>
    <row r="124" spans="2:25" ht="17.25" hidden="1">
      <c r="B124" s="302" t="s">
        <v>175</v>
      </c>
      <c r="C124" s="294"/>
      <c r="D124" s="295">
        <v>1628785.7750000001</v>
      </c>
      <c r="E124" s="295">
        <v>1574479.6150000002</v>
      </c>
      <c r="F124" s="295">
        <v>1453812.57</v>
      </c>
      <c r="G124" s="296">
        <v>-120667.04500000016</v>
      </c>
      <c r="H124" s="297">
        <v>92.33606813004053</v>
      </c>
      <c r="I124" s="135">
        <v>-174973.20500000007</v>
      </c>
      <c r="J124" s="135">
        <v>89.25744516647684</v>
      </c>
      <c r="K124" s="135"/>
      <c r="L124" s="135"/>
      <c r="M124" s="135"/>
      <c r="N124" s="135"/>
      <c r="O124" s="135"/>
      <c r="P124" s="298"/>
      <c r="Q124" s="135">
        <v>1092719.6300000001</v>
      </c>
      <c r="R124" s="135">
        <v>361092.93999999994</v>
      </c>
      <c r="S124" s="299">
        <v>1.3304534210664816</v>
      </c>
      <c r="T124" s="303"/>
      <c r="U124" s="303"/>
      <c r="V124" s="301"/>
      <c r="W124" s="301"/>
      <c r="X124" s="197"/>
      <c r="Y124" s="260">
        <f>#N/A</f>
        <v>1.3304534210664816</v>
      </c>
    </row>
    <row r="125" spans="2:25" ht="15" hidden="1">
      <c r="B125" s="304" t="s">
        <v>176</v>
      </c>
      <c r="C125" s="305">
        <v>40000000</v>
      </c>
      <c r="D125" s="306" t="e">
        <v>#N/A</v>
      </c>
      <c r="E125" s="306" t="e">
        <v>#N/A</v>
      </c>
      <c r="F125" s="306" t="e">
        <v>#N/A</v>
      </c>
      <c r="G125" s="306" t="e">
        <v>#N/A</v>
      </c>
      <c r="H125" s="306" t="e">
        <v>#N/A</v>
      </c>
      <c r="I125" s="29" t="e">
        <v>#N/A</v>
      </c>
      <c r="J125" s="29" t="e">
        <v>#N/A</v>
      </c>
      <c r="K125" s="307"/>
      <c r="L125" s="307"/>
      <c r="M125" s="307"/>
      <c r="N125" s="307"/>
      <c r="O125" s="307"/>
      <c r="P125" s="308"/>
      <c r="W125" s="309"/>
      <c r="X125" s="197"/>
      <c r="Y125" s="260">
        <f>#N/A</f>
        <v>0</v>
      </c>
    </row>
    <row r="126" spans="2:25" ht="26.25" hidden="1">
      <c r="B126" s="310" t="s">
        <v>177</v>
      </c>
      <c r="C126" s="305">
        <v>41033900</v>
      </c>
      <c r="D126" s="306">
        <v>243334.5</v>
      </c>
      <c r="E126" s="306">
        <v>56191.6</v>
      </c>
      <c r="F126" s="306">
        <v>56191.6</v>
      </c>
      <c r="G126" s="306" t="e">
        <v>#N/A</v>
      </c>
      <c r="H126" s="306" t="e">
        <v>#N/A</v>
      </c>
      <c r="I126" s="29" t="e">
        <v>#N/A</v>
      </c>
      <c r="J126" s="29" t="e">
        <v>#N/A</v>
      </c>
      <c r="K126" s="307"/>
      <c r="L126" s="307"/>
      <c r="M126" s="307"/>
      <c r="N126" s="307"/>
      <c r="O126" s="307"/>
      <c r="P126" s="308"/>
      <c r="W126" s="309"/>
      <c r="X126" s="197"/>
      <c r="Y126" s="260">
        <f>#N/A</f>
        <v>0</v>
      </c>
    </row>
    <row r="127" spans="2:25" ht="26.25" hidden="1">
      <c r="B127" s="310" t="s">
        <v>178</v>
      </c>
      <c r="C127" s="305">
        <v>41034200</v>
      </c>
      <c r="D127" s="306">
        <v>238249.5</v>
      </c>
      <c r="E127" s="306">
        <v>59541.9</v>
      </c>
      <c r="F127" s="306">
        <v>59541.9</v>
      </c>
      <c r="G127" s="306" t="e">
        <v>#N/A</v>
      </c>
      <c r="H127" s="306" t="e">
        <v>#N/A</v>
      </c>
      <c r="I127" s="29" t="e">
        <v>#N/A</v>
      </c>
      <c r="J127" s="29" t="e">
        <v>#N/A</v>
      </c>
      <c r="K127" s="307"/>
      <c r="L127" s="307"/>
      <c r="M127" s="307"/>
      <c r="N127" s="307"/>
      <c r="O127" s="307"/>
      <c r="P127" s="308"/>
      <c r="W127" s="309"/>
      <c r="X127" s="197"/>
      <c r="Y127" s="260">
        <f>#N/A</f>
        <v>0</v>
      </c>
    </row>
    <row r="128" spans="2:25" s="311" customFormat="1" ht="25.5" customHeight="1" hidden="1">
      <c r="B128" s="312" t="s">
        <v>179</v>
      </c>
      <c r="C128" s="313"/>
      <c r="D128" s="314" t="e">
        <v>#N/A</v>
      </c>
      <c r="E128" s="314" t="e">
        <v>#N/A</v>
      </c>
      <c r="F128" s="314" t="e">
        <v>#N/A</v>
      </c>
      <c r="G128" s="315" t="e">
        <v>#N/A</v>
      </c>
      <c r="H128" s="314" t="e">
        <v>#N/A</v>
      </c>
      <c r="I128" s="316" t="e">
        <v>#N/A</v>
      </c>
      <c r="J128" s="316" t="e">
        <v>#N/A</v>
      </c>
      <c r="K128" s="317"/>
      <c r="L128" s="317"/>
      <c r="M128" s="317"/>
      <c r="N128" s="317"/>
      <c r="O128" s="317"/>
      <c r="P128" s="318"/>
      <c r="W128" s="319"/>
      <c r="X128" s="197"/>
      <c r="Y128" s="260">
        <f>#N/A</f>
        <v>0</v>
      </c>
    </row>
    <row r="129" spans="24:25" ht="15" hidden="1">
      <c r="X129" s="197"/>
      <c r="Y129" s="260">
        <f>#N/A</f>
        <v>0</v>
      </c>
    </row>
    <row r="130" spans="24:25" ht="15" hidden="1">
      <c r="X130" s="197"/>
      <c r="Y130" s="260">
        <f>#N/A</f>
        <v>0</v>
      </c>
    </row>
    <row r="131" spans="24:25" ht="15" hidden="1">
      <c r="X131" s="197"/>
      <c r="Y131" s="260">
        <f>#N/A</f>
        <v>0</v>
      </c>
    </row>
    <row r="132" spans="24:25" ht="15" hidden="1">
      <c r="X132" s="197"/>
      <c r="Y132" s="260">
        <f>#N/A</f>
        <v>0</v>
      </c>
    </row>
    <row r="133" spans="24:25" ht="15" hidden="1">
      <c r="X133" s="197"/>
      <c r="Y133" s="260">
        <f>#N/A</f>
        <v>0</v>
      </c>
    </row>
    <row r="134" spans="24:25" ht="15" hidden="1">
      <c r="X134" s="197"/>
      <c r="Y134" s="260"/>
    </row>
    <row r="135" spans="2:25" ht="15" hidden="1">
      <c r="B135" s="320" t="s">
        <v>180</v>
      </c>
      <c r="X135" s="197"/>
      <c r="Y135" s="260"/>
    </row>
    <row r="136" spans="1:25" s="6" customFormat="1" ht="30.75" customHeight="1" hidden="1">
      <c r="A136" s="8"/>
      <c r="B136" s="321" t="s">
        <v>181</v>
      </c>
      <c r="C136" s="322">
        <v>13010200</v>
      </c>
      <c r="D136" s="323">
        <v>0</v>
      </c>
      <c r="E136" s="323">
        <v>0</v>
      </c>
      <c r="F136" s="324">
        <v>0.49</v>
      </c>
      <c r="G136" s="323">
        <v>0.49</v>
      </c>
      <c r="H136" s="325">
        <v>0</v>
      </c>
      <c r="I136" s="326">
        <v>0.49</v>
      </c>
      <c r="J136" s="325">
        <v>0</v>
      </c>
      <c r="K136" s="159">
        <v>0</v>
      </c>
      <c r="L136" s="159">
        <v>0</v>
      </c>
      <c r="M136" s="159">
        <v>0</v>
      </c>
      <c r="N136" s="326">
        <v>0.17</v>
      </c>
      <c r="O136" s="326">
        <v>-0.17</v>
      </c>
      <c r="P136" s="325">
        <v>0</v>
      </c>
      <c r="Q136" s="326">
        <v>0.17</v>
      </c>
      <c r="R136" s="327">
        <v>0.31999999999999995</v>
      </c>
      <c r="S136" s="325">
        <v>2.88235294117647</v>
      </c>
      <c r="T136" s="328"/>
      <c r="U136" s="328"/>
      <c r="V136" s="328"/>
      <c r="W136" s="328"/>
      <c r="X136" s="197">
        <f>#N/A</f>
        <v>2.88235294117647</v>
      </c>
      <c r="Y136" s="260">
        <f>#N/A</f>
        <v>2.88235294117647</v>
      </c>
    </row>
    <row r="137" spans="1:25" s="6" customFormat="1" ht="30.75" hidden="1">
      <c r="A137" s="8"/>
      <c r="B137" s="329" t="s">
        <v>182</v>
      </c>
      <c r="C137" s="322">
        <v>13030200</v>
      </c>
      <c r="D137" s="323">
        <v>220</v>
      </c>
      <c r="E137" s="323">
        <v>220</v>
      </c>
      <c r="F137" s="324">
        <v>220.59</v>
      </c>
      <c r="G137" s="323">
        <v>0.5900000000000034</v>
      </c>
      <c r="H137" s="325">
        <v>1.0026818181818182</v>
      </c>
      <c r="I137" s="323">
        <v>0.5900000000000034</v>
      </c>
      <c r="J137" s="325">
        <v>100.26818181818183</v>
      </c>
      <c r="K137" s="88">
        <v>0</v>
      </c>
      <c r="L137" s="88">
        <v>0</v>
      </c>
      <c r="M137" s="88">
        <v>0</v>
      </c>
      <c r="N137" s="326">
        <v>124.7</v>
      </c>
      <c r="O137" s="326">
        <v>95.3</v>
      </c>
      <c r="P137" s="325">
        <v>1.764234161988773</v>
      </c>
      <c r="Q137" s="326">
        <v>124.7</v>
      </c>
      <c r="R137" s="327">
        <v>95.89</v>
      </c>
      <c r="S137" s="325">
        <v>1.7689655172413794</v>
      </c>
      <c r="T137" s="330"/>
      <c r="U137" s="330"/>
      <c r="V137" s="330"/>
      <c r="W137" s="330"/>
      <c r="X137" s="197">
        <f>#N/A</f>
        <v>0.004731355252606484</v>
      </c>
      <c r="Y137" s="260">
        <f>#N/A</f>
        <v>0.004731355252606484</v>
      </c>
    </row>
    <row r="138" spans="1:25" s="6" customFormat="1" ht="15" hidden="1">
      <c r="A138" s="8"/>
      <c r="B138" s="331" t="s">
        <v>51</v>
      </c>
      <c r="C138" s="332">
        <v>21080500</v>
      </c>
      <c r="D138" s="333">
        <v>40</v>
      </c>
      <c r="E138" s="333">
        <v>40</v>
      </c>
      <c r="F138" s="334">
        <v>153.3</v>
      </c>
      <c r="G138" s="333">
        <v>113.30000000000001</v>
      </c>
      <c r="H138" s="335">
        <v>3.8325000000000005</v>
      </c>
      <c r="I138" s="327">
        <v>113.30000000000001</v>
      </c>
      <c r="J138" s="335">
        <v>3.8325000000000005</v>
      </c>
      <c r="K138" s="87">
        <v>0</v>
      </c>
      <c r="L138" s="87">
        <v>0</v>
      </c>
      <c r="M138" s="87">
        <v>0</v>
      </c>
      <c r="N138" s="327">
        <v>31.98</v>
      </c>
      <c r="O138" s="327">
        <v>8.02</v>
      </c>
      <c r="P138" s="335">
        <v>1.2507817385866167</v>
      </c>
      <c r="Q138" s="327">
        <v>31.98</v>
      </c>
      <c r="R138" s="327">
        <v>121.32000000000001</v>
      </c>
      <c r="S138" s="325">
        <v>4.793621013133208</v>
      </c>
      <c r="T138" s="328"/>
      <c r="U138" s="328"/>
      <c r="V138" s="328"/>
      <c r="W138" s="328"/>
      <c r="X138" s="197">
        <f>#N/A</f>
        <v>3.5428392745465915</v>
      </c>
      <c r="Y138" s="260">
        <f>#N/A</f>
        <v>3.5428392745465915</v>
      </c>
    </row>
    <row r="139" spans="1:25" s="6" customFormat="1" ht="30.75" hidden="1">
      <c r="A139" s="8"/>
      <c r="B139" s="336" t="s">
        <v>34</v>
      </c>
      <c r="C139" s="337">
        <v>21080900</v>
      </c>
      <c r="D139" s="338">
        <v>13</v>
      </c>
      <c r="E139" s="338">
        <v>13</v>
      </c>
      <c r="F139" s="339">
        <v>12.95</v>
      </c>
      <c r="G139" s="338">
        <v>-0.05000000000000071</v>
      </c>
      <c r="H139" s="340">
        <v>0.9961538461538461</v>
      </c>
      <c r="I139" s="338">
        <v>-0.05000000000000071</v>
      </c>
      <c r="J139" s="340">
        <v>0.9961538461538461</v>
      </c>
      <c r="K139" s="168">
        <v>0</v>
      </c>
      <c r="L139" s="168">
        <v>0</v>
      </c>
      <c r="M139" s="168">
        <v>0</v>
      </c>
      <c r="N139" s="341">
        <v>0.1</v>
      </c>
      <c r="O139" s="341">
        <v>12.9</v>
      </c>
      <c r="P139" s="340">
        <v>130</v>
      </c>
      <c r="Q139" s="341">
        <v>0.1</v>
      </c>
      <c r="R139" s="341">
        <v>12.85</v>
      </c>
      <c r="S139" s="342">
        <v>0</v>
      </c>
      <c r="T139" s="343"/>
      <c r="U139" s="343"/>
      <c r="V139" s="343"/>
      <c r="W139" s="343"/>
      <c r="X139" s="197">
        <f>#N/A</f>
        <v>-130</v>
      </c>
      <c r="Y139" s="260">
        <f>#N/A</f>
        <v>-130</v>
      </c>
    </row>
    <row r="140" spans="1:25" s="6" customFormat="1" ht="15" hidden="1">
      <c r="A140" s="8"/>
      <c r="B140" s="329" t="s">
        <v>16</v>
      </c>
      <c r="C140" s="322">
        <v>21081100</v>
      </c>
      <c r="D140" s="323">
        <v>660</v>
      </c>
      <c r="E140" s="323">
        <v>660</v>
      </c>
      <c r="F140" s="324">
        <v>705.31</v>
      </c>
      <c r="G140" s="323">
        <v>45.309999999999945</v>
      </c>
      <c r="H140" s="325">
        <v>1.068651515151515</v>
      </c>
      <c r="I140" s="323">
        <v>45.309999999999945</v>
      </c>
      <c r="J140" s="325">
        <v>1.068651515151515</v>
      </c>
      <c r="K140" s="88">
        <v>0</v>
      </c>
      <c r="L140" s="88">
        <v>0</v>
      </c>
      <c r="M140" s="88">
        <v>0</v>
      </c>
      <c r="N140" s="326">
        <v>241.07</v>
      </c>
      <c r="O140" s="326">
        <v>418.93</v>
      </c>
      <c r="P140" s="325">
        <v>2.7377940017422326</v>
      </c>
      <c r="Q140" s="326">
        <v>241.07</v>
      </c>
      <c r="R140" s="327">
        <v>464.23999999999995</v>
      </c>
      <c r="S140" s="325">
        <v>2.9257477081345664</v>
      </c>
      <c r="T140" s="330"/>
      <c r="U140" s="330"/>
      <c r="V140" s="330"/>
      <c r="W140" s="330"/>
      <c r="X140" s="197">
        <f>#N/A</f>
        <v>0.18795370639233377</v>
      </c>
      <c r="Y140" s="260">
        <f>#N/A</f>
        <v>0.18795370639233377</v>
      </c>
    </row>
    <row r="141" spans="1:25" s="6" customFormat="1" ht="46.5" hidden="1">
      <c r="A141" s="8"/>
      <c r="B141" s="329" t="s">
        <v>67</v>
      </c>
      <c r="C141" s="322">
        <v>21081500</v>
      </c>
      <c r="D141" s="323">
        <v>97.5</v>
      </c>
      <c r="E141" s="323">
        <v>97.5</v>
      </c>
      <c r="F141" s="324">
        <v>114.3</v>
      </c>
      <c r="G141" s="323">
        <v>16.799999999999997</v>
      </c>
      <c r="H141" s="325">
        <v>1.1723076923076923</v>
      </c>
      <c r="I141" s="323">
        <v>16.799999999999997</v>
      </c>
      <c r="J141" s="325">
        <v>1.1723076923076923</v>
      </c>
      <c r="K141" s="88">
        <v>0</v>
      </c>
      <c r="L141" s="88">
        <v>0</v>
      </c>
      <c r="M141" s="88">
        <v>0</v>
      </c>
      <c r="N141" s="326">
        <v>86.37</v>
      </c>
      <c r="O141" s="326">
        <v>11.129999999999995</v>
      </c>
      <c r="P141" s="325">
        <v>1.1288641889544981</v>
      </c>
      <c r="Q141" s="326">
        <v>86.37</v>
      </c>
      <c r="R141" s="327">
        <v>27.929999999999993</v>
      </c>
      <c r="S141" s="325">
        <v>1.3233761722820423</v>
      </c>
      <c r="T141" s="330"/>
      <c r="U141" s="330"/>
      <c r="V141" s="330"/>
      <c r="W141" s="330"/>
      <c r="X141" s="197">
        <f>#N/A</f>
        <v>0.19451198332754416</v>
      </c>
      <c r="Y141" s="260">
        <f>#N/A</f>
        <v>0.19451198332754416</v>
      </c>
    </row>
    <row r="142" spans="1:25" s="6" customFormat="1" ht="46.5" hidden="1">
      <c r="A142" s="8"/>
      <c r="B142" s="329" t="s">
        <v>17</v>
      </c>
      <c r="C142" s="322" t="s">
        <v>18</v>
      </c>
      <c r="D142" s="323">
        <v>2.5</v>
      </c>
      <c r="E142" s="323">
        <v>2.5</v>
      </c>
      <c r="F142" s="324">
        <v>2.04</v>
      </c>
      <c r="G142" s="323">
        <v>-0.45999999999999996</v>
      </c>
      <c r="H142" s="325">
        <v>0.8160000000000001</v>
      </c>
      <c r="I142" s="323">
        <v>-0.45999999999999996</v>
      </c>
      <c r="J142" s="325">
        <v>0.8160000000000001</v>
      </c>
      <c r="K142" s="88">
        <v>0</v>
      </c>
      <c r="L142" s="88">
        <v>0</v>
      </c>
      <c r="M142" s="88">
        <v>0</v>
      </c>
      <c r="N142" s="326">
        <v>2.46</v>
      </c>
      <c r="O142" s="326">
        <v>0.040000000000000036</v>
      </c>
      <c r="P142" s="325">
        <v>1.016260162601626</v>
      </c>
      <c r="Q142" s="326">
        <v>2.46</v>
      </c>
      <c r="R142" s="327">
        <v>-0.41999999999999993</v>
      </c>
      <c r="S142" s="325">
        <v>0.8292682926829269</v>
      </c>
      <c r="T142" s="330"/>
      <c r="U142" s="330"/>
      <c r="V142" s="330"/>
      <c r="W142" s="330"/>
      <c r="X142" s="197">
        <f>#N/A</f>
        <v>-0.1869918699186992</v>
      </c>
      <c r="Y142" s="260">
        <f>#N/A</f>
        <v>-0.1869918699186992</v>
      </c>
    </row>
    <row r="143" spans="1:25" s="6" customFormat="1" ht="15" hidden="1">
      <c r="A143" s="8"/>
      <c r="B143" s="344" t="s">
        <v>39</v>
      </c>
      <c r="C143" s="322">
        <v>31010200</v>
      </c>
      <c r="D143" s="345">
        <v>15</v>
      </c>
      <c r="E143" s="345">
        <v>15</v>
      </c>
      <c r="F143" s="346">
        <v>34.22</v>
      </c>
      <c r="G143" s="345">
        <v>19.22</v>
      </c>
      <c r="H143" s="347">
        <v>2.2813333333333334</v>
      </c>
      <c r="I143" s="345">
        <v>19.22</v>
      </c>
      <c r="J143" s="347">
        <v>2.2813333333333334</v>
      </c>
      <c r="K143" s="89">
        <v>0</v>
      </c>
      <c r="L143" s="89">
        <v>0</v>
      </c>
      <c r="M143" s="89">
        <v>0</v>
      </c>
      <c r="N143" s="348">
        <v>13.52</v>
      </c>
      <c r="O143" s="348">
        <v>1.4800000000000004</v>
      </c>
      <c r="P143" s="347">
        <v>1.1094674556213018</v>
      </c>
      <c r="Q143" s="348">
        <v>13.52</v>
      </c>
      <c r="R143" s="349">
        <v>20.7</v>
      </c>
      <c r="S143" s="347">
        <v>2.5310650887573964</v>
      </c>
      <c r="T143" s="350"/>
      <c r="U143" s="350"/>
      <c r="V143" s="350"/>
      <c r="W143" s="350"/>
      <c r="X143" s="197">
        <f>#N/A</f>
        <v>1.4215976331360947</v>
      </c>
      <c r="Y143" s="260">
        <f>#N/A</f>
        <v>1.4215976331360947</v>
      </c>
    </row>
    <row r="144" spans="1:25" s="6" customFormat="1" ht="30.75" hidden="1">
      <c r="A144" s="8"/>
      <c r="B144" s="344" t="s">
        <v>49</v>
      </c>
      <c r="C144" s="322">
        <v>31020000</v>
      </c>
      <c r="D144" s="345">
        <v>0</v>
      </c>
      <c r="E144" s="345">
        <v>0</v>
      </c>
      <c r="F144" s="346">
        <v>-4.86</v>
      </c>
      <c r="G144" s="345">
        <v>-4.86</v>
      </c>
      <c r="H144" s="347" t="e">
        <v>#DIV/0!</v>
      </c>
      <c r="I144" s="345">
        <v>-4.86</v>
      </c>
      <c r="J144" s="347">
        <v>0</v>
      </c>
      <c r="K144" s="89">
        <v>0</v>
      </c>
      <c r="L144" s="89">
        <v>0</v>
      </c>
      <c r="M144" s="89">
        <v>0</v>
      </c>
      <c r="N144" s="348">
        <v>7.37</v>
      </c>
      <c r="O144" s="348">
        <v>-7.37</v>
      </c>
      <c r="P144" s="347">
        <v>0</v>
      </c>
      <c r="Q144" s="348">
        <v>7.37</v>
      </c>
      <c r="R144" s="349">
        <v>-12.23</v>
      </c>
      <c r="S144" s="347">
        <v>-0.6594301221166893</v>
      </c>
      <c r="T144" s="350"/>
      <c r="U144" s="350"/>
      <c r="V144" s="350"/>
      <c r="W144" s="350"/>
      <c r="X144" s="197">
        <f>#N/A</f>
        <v>-0.6594301221166893</v>
      </c>
      <c r="Y144" s="260">
        <f>#N/A</f>
        <v>-0.6594301221166893</v>
      </c>
    </row>
    <row r="145" spans="4:25" ht="15" hidden="1">
      <c r="D145" s="351">
        <v>1048</v>
      </c>
      <c r="E145" s="351">
        <v>1048</v>
      </c>
      <c r="F145" s="352">
        <v>1238.34</v>
      </c>
      <c r="G145" s="351">
        <v>190.33999999999992</v>
      </c>
      <c r="H145" s="189">
        <v>1.18162213740458</v>
      </c>
      <c r="I145" s="351">
        <v>190.33999999999992</v>
      </c>
      <c r="J145" s="189">
        <v>1.18162213740458</v>
      </c>
      <c r="K145" s="66"/>
      <c r="L145" s="66"/>
      <c r="M145" s="66"/>
      <c r="N145" s="351">
        <v>507.73999999999995</v>
      </c>
      <c r="O145" s="351">
        <v>540.26</v>
      </c>
      <c r="P145" s="189">
        <v>2.06404852877457</v>
      </c>
      <c r="Q145" s="351">
        <v>507.73999999999995</v>
      </c>
      <c r="R145" s="351">
        <v>730.5999999999999</v>
      </c>
      <c r="S145" s="353">
        <v>2.4389254342773863</v>
      </c>
      <c r="T145" s="226"/>
      <c r="U145" s="226"/>
      <c r="V145" s="226"/>
      <c r="W145" s="226"/>
      <c r="X145" s="200">
        <f>#N/A</f>
        <v>0.37487690550281627</v>
      </c>
      <c r="Y145" s="260">
        <f>#N/A</f>
        <v>0.37487690550281627</v>
      </c>
    </row>
    <row r="146" spans="19:25" ht="15" hidden="1">
      <c r="S146" s="281"/>
      <c r="T146" s="226"/>
      <c r="U146" s="226"/>
      <c r="V146" s="226"/>
      <c r="W146" s="226"/>
      <c r="X146" s="197"/>
      <c r="Y146" s="260"/>
    </row>
    <row r="147" spans="2:25" ht="15" hidden="1">
      <c r="B147" s="354" t="s">
        <v>183</v>
      </c>
      <c r="S147" s="281"/>
      <c r="T147" s="226"/>
      <c r="U147" s="226"/>
      <c r="V147" s="226"/>
      <c r="W147" s="226"/>
      <c r="X147" s="197"/>
      <c r="Y147" s="260"/>
    </row>
    <row r="148" spans="1:25" s="6" customFormat="1" ht="30.75" hidden="1">
      <c r="A148" s="8"/>
      <c r="B148" s="355" t="s">
        <v>89</v>
      </c>
      <c r="C148" s="356">
        <v>22010300</v>
      </c>
      <c r="D148" s="323">
        <v>1173</v>
      </c>
      <c r="E148" s="323">
        <v>1173</v>
      </c>
      <c r="F148" s="324">
        <v>1205.14</v>
      </c>
      <c r="G148" s="323">
        <v>32.1400000000001</v>
      </c>
      <c r="H148" s="357">
        <v>1.0273998294970164</v>
      </c>
      <c r="I148" s="323">
        <v>32.1400000000001</v>
      </c>
      <c r="J148" s="357">
        <v>1.0273998294970164</v>
      </c>
      <c r="K148" s="88">
        <v>0</v>
      </c>
      <c r="L148" s="88">
        <v>0</v>
      </c>
      <c r="M148" s="88">
        <v>0</v>
      </c>
      <c r="N148" s="323">
        <v>791.33</v>
      </c>
      <c r="O148" s="323">
        <v>381.66999999999996</v>
      </c>
      <c r="P148" s="357">
        <v>1.4823145843074317</v>
      </c>
      <c r="Q148" s="323">
        <v>791.33</v>
      </c>
      <c r="R148" s="333">
        <v>413.81000000000006</v>
      </c>
      <c r="S148" s="357">
        <v>1.522929751178396</v>
      </c>
      <c r="T148" s="330"/>
      <c r="U148" s="330"/>
      <c r="V148" s="330"/>
      <c r="W148" s="330"/>
      <c r="X148" s="197">
        <f>#N/A</f>
        <v>0.040615166870964226</v>
      </c>
      <c r="Y148" s="260">
        <f>#N/A</f>
        <v>0.040615166870964226</v>
      </c>
    </row>
    <row r="149" spans="1:25" s="6" customFormat="1" ht="15" hidden="1">
      <c r="A149" s="8"/>
      <c r="B149" s="355" t="s">
        <v>106</v>
      </c>
      <c r="C149" s="356">
        <v>22010200</v>
      </c>
      <c r="D149" s="323">
        <v>23</v>
      </c>
      <c r="E149" s="323">
        <v>23</v>
      </c>
      <c r="F149" s="324">
        <v>23.38</v>
      </c>
      <c r="G149" s="323">
        <v>0.379999999999999</v>
      </c>
      <c r="H149" s="357">
        <v>1.0165217391304346</v>
      </c>
      <c r="I149" s="323">
        <v>0.379999999999999</v>
      </c>
      <c r="J149" s="357">
        <v>1.0165217391304346</v>
      </c>
      <c r="K149" s="88">
        <v>0</v>
      </c>
      <c r="L149" s="88">
        <v>0</v>
      </c>
      <c r="M149" s="88">
        <v>0</v>
      </c>
      <c r="N149" s="323">
        <v>0</v>
      </c>
      <c r="O149" s="323">
        <v>23</v>
      </c>
      <c r="P149" s="357" t="e">
        <v>#DIV/0!</v>
      </c>
      <c r="Q149" s="323">
        <v>0</v>
      </c>
      <c r="R149" s="333">
        <v>23.38</v>
      </c>
      <c r="S149" s="357">
        <v>0</v>
      </c>
      <c r="T149" s="330"/>
      <c r="U149" s="330"/>
      <c r="V149" s="330"/>
      <c r="W149" s="330"/>
      <c r="X149" s="197" t="e">
        <f>#N/A</f>
        <v>#DIV/0!</v>
      </c>
      <c r="Y149" s="260" t="e">
        <f>#N/A</f>
        <v>#DIV/0!</v>
      </c>
    </row>
    <row r="150" spans="1:25" s="6" customFormat="1" ht="15" hidden="1">
      <c r="A150" s="8"/>
      <c r="B150" s="358" t="s">
        <v>65</v>
      </c>
      <c r="C150" s="359">
        <v>22012500</v>
      </c>
      <c r="D150" s="360">
        <v>19700</v>
      </c>
      <c r="E150" s="360">
        <v>19700</v>
      </c>
      <c r="F150" s="361">
        <v>20110.24</v>
      </c>
      <c r="G150" s="360">
        <v>410.2400000000016</v>
      </c>
      <c r="H150" s="362">
        <v>1.0208243654822335</v>
      </c>
      <c r="I150" s="360">
        <v>410.2400000000016</v>
      </c>
      <c r="J150" s="362">
        <v>1.0208243654822335</v>
      </c>
      <c r="K150" s="26">
        <v>0</v>
      </c>
      <c r="L150" s="26">
        <v>0</v>
      </c>
      <c r="M150" s="26">
        <v>0</v>
      </c>
      <c r="N150" s="360">
        <v>11422.5</v>
      </c>
      <c r="O150" s="360">
        <v>8277.5</v>
      </c>
      <c r="P150" s="362">
        <v>1.7246662289341212</v>
      </c>
      <c r="Q150" s="360">
        <v>11422.5</v>
      </c>
      <c r="R150" s="363">
        <v>8687.740000000002</v>
      </c>
      <c r="S150" s="362">
        <v>1.7605813088203108</v>
      </c>
      <c r="T150" s="364"/>
      <c r="U150" s="364"/>
      <c r="V150" s="364"/>
      <c r="W150" s="364"/>
      <c r="X150" s="197">
        <f>#N/A</f>
        <v>0.03591507988618958</v>
      </c>
      <c r="Y150" s="260">
        <f>#N/A</f>
        <v>0.03591507988618958</v>
      </c>
    </row>
    <row r="151" spans="1:25" s="6" customFormat="1" ht="30.75" hidden="1">
      <c r="A151" s="8"/>
      <c r="B151" s="358" t="s">
        <v>86</v>
      </c>
      <c r="C151" s="359">
        <v>22012600</v>
      </c>
      <c r="D151" s="360">
        <v>694</v>
      </c>
      <c r="E151" s="360">
        <v>694</v>
      </c>
      <c r="F151" s="361">
        <v>710.04</v>
      </c>
      <c r="G151" s="360">
        <v>16.039999999999964</v>
      </c>
      <c r="H151" s="362">
        <v>1.0231123919308356</v>
      </c>
      <c r="I151" s="360">
        <v>16.039999999999964</v>
      </c>
      <c r="J151" s="362">
        <v>1.0231123919308356</v>
      </c>
      <c r="K151" s="26">
        <v>0</v>
      </c>
      <c r="L151" s="26">
        <v>0</v>
      </c>
      <c r="M151" s="26">
        <v>0</v>
      </c>
      <c r="N151" s="360">
        <v>323.25</v>
      </c>
      <c r="O151" s="360">
        <v>370.75</v>
      </c>
      <c r="P151" s="362">
        <v>2.1469450889404484</v>
      </c>
      <c r="Q151" s="360">
        <v>323.25</v>
      </c>
      <c r="R151" s="363">
        <v>386.78999999999996</v>
      </c>
      <c r="S151" s="362">
        <v>2.196566125290023</v>
      </c>
      <c r="T151" s="364"/>
      <c r="U151" s="364"/>
      <c r="V151" s="364"/>
      <c r="W151" s="364"/>
      <c r="X151" s="197">
        <f>#N/A</f>
        <v>0.0496210363495746</v>
      </c>
      <c r="Y151" s="260">
        <f>#N/A</f>
        <v>0.0496210363495746</v>
      </c>
    </row>
    <row r="152" spans="1:25" s="6" customFormat="1" ht="30.75" hidden="1">
      <c r="A152" s="8"/>
      <c r="B152" s="358" t="s">
        <v>90</v>
      </c>
      <c r="C152" s="359">
        <v>22012900</v>
      </c>
      <c r="D152" s="360">
        <v>20</v>
      </c>
      <c r="E152" s="360">
        <v>20</v>
      </c>
      <c r="F152" s="361">
        <v>41.44</v>
      </c>
      <c r="G152" s="360">
        <v>21.439999999999998</v>
      </c>
      <c r="H152" s="362">
        <v>2.072</v>
      </c>
      <c r="I152" s="360">
        <v>21.439999999999998</v>
      </c>
      <c r="J152" s="362">
        <v>2.072</v>
      </c>
      <c r="K152" s="26">
        <v>0</v>
      </c>
      <c r="L152" s="26">
        <v>0</v>
      </c>
      <c r="M152" s="26">
        <v>0</v>
      </c>
      <c r="N152" s="360">
        <v>22.36</v>
      </c>
      <c r="O152" s="360">
        <v>-2.3599999999999994</v>
      </c>
      <c r="P152" s="362">
        <v>0.8944543828264758</v>
      </c>
      <c r="Q152" s="360">
        <v>22.36</v>
      </c>
      <c r="R152" s="363">
        <v>19.08</v>
      </c>
      <c r="S152" s="362">
        <v>1.8533094812164579</v>
      </c>
      <c r="T152" s="364"/>
      <c r="U152" s="364"/>
      <c r="V152" s="364"/>
      <c r="W152" s="364"/>
      <c r="X152" s="197">
        <f>#N/A</f>
        <v>0.9588550983899821</v>
      </c>
      <c r="Y152" s="260">
        <f>#N/A</f>
        <v>0.9588550983899821</v>
      </c>
    </row>
    <row r="153" spans="2:25" ht="15" hidden="1">
      <c r="B153" s="354" t="s">
        <v>183</v>
      </c>
      <c r="C153" s="365">
        <v>22010000</v>
      </c>
      <c r="D153" s="351">
        <v>21610</v>
      </c>
      <c r="E153" s="351">
        <v>21610</v>
      </c>
      <c r="F153" s="352">
        <v>22090.24</v>
      </c>
      <c r="G153" s="351">
        <v>480.2400000000016</v>
      </c>
      <c r="H153" s="189">
        <v>1.0222230448866267</v>
      </c>
      <c r="I153" s="351">
        <v>480.2400000000016</v>
      </c>
      <c r="J153" s="189">
        <v>1.0222230448866267</v>
      </c>
      <c r="K153" s="66"/>
      <c r="L153" s="66"/>
      <c r="M153" s="66"/>
      <c r="N153" s="351">
        <v>12559.44</v>
      </c>
      <c r="O153" s="351">
        <v>9050.56</v>
      </c>
      <c r="P153" s="189">
        <v>1.7206181167313193</v>
      </c>
      <c r="Q153" s="351">
        <v>12559.44</v>
      </c>
      <c r="R153" s="351">
        <v>9530.800000000001</v>
      </c>
      <c r="S153" s="189">
        <v>1.7588554903721823</v>
      </c>
      <c r="T153" s="226"/>
      <c r="U153" s="226"/>
      <c r="V153" s="226"/>
      <c r="W153" s="226"/>
      <c r="X153" s="200">
        <f>#N/A</f>
        <v>0.03823737364086299</v>
      </c>
      <c r="Y153" s="260">
        <f>#N/A</f>
        <v>0.03823737364086299</v>
      </c>
    </row>
    <row r="154" spans="20:25" ht="15" hidden="1">
      <c r="T154" s="226"/>
      <c r="U154" s="226"/>
      <c r="V154" s="226"/>
      <c r="W154" s="226"/>
      <c r="X154" s="197"/>
      <c r="Y154" s="260"/>
    </row>
    <row r="155" spans="20:25" ht="15" hidden="1">
      <c r="T155" s="226"/>
      <c r="U155" s="226"/>
      <c r="V155" s="226"/>
      <c r="W155" s="226"/>
      <c r="X155" s="197"/>
      <c r="Y155" s="260"/>
    </row>
    <row r="156" spans="2:25" ht="15" hidden="1">
      <c r="B156" s="354" t="s">
        <v>184</v>
      </c>
      <c r="T156" s="226"/>
      <c r="U156" s="226"/>
      <c r="V156" s="226"/>
      <c r="W156" s="226"/>
      <c r="X156" s="197"/>
      <c r="Y156" s="260"/>
    </row>
    <row r="157" spans="1:25" s="6" customFormat="1" ht="15.75" customHeight="1" hidden="1">
      <c r="A157" s="8"/>
      <c r="B157" s="366" t="s">
        <v>13</v>
      </c>
      <c r="C157" s="322" t="s">
        <v>19</v>
      </c>
      <c r="D157" s="348">
        <v>7875</v>
      </c>
      <c r="E157" s="348">
        <v>7875</v>
      </c>
      <c r="F157" s="367">
        <v>8086.92</v>
      </c>
      <c r="G157" s="348">
        <v>211.92000000000007</v>
      </c>
      <c r="H157" s="347">
        <v>1.0269104761904762</v>
      </c>
      <c r="I157" s="348">
        <v>211.92000000000007</v>
      </c>
      <c r="J157" s="347">
        <v>1.0269104761904762</v>
      </c>
      <c r="K157" s="368">
        <v>0</v>
      </c>
      <c r="L157" s="368">
        <v>0</v>
      </c>
      <c r="M157" s="368">
        <v>0</v>
      </c>
      <c r="N157" s="348">
        <v>6525.16</v>
      </c>
      <c r="O157" s="348">
        <v>1349.8400000000001</v>
      </c>
      <c r="P157" s="347">
        <v>1.2068669580516034</v>
      </c>
      <c r="Q157" s="348">
        <v>6525.16</v>
      </c>
      <c r="R157" s="348">
        <v>1561.7600000000002</v>
      </c>
      <c r="S157" s="347">
        <v>1.2393443225913234</v>
      </c>
      <c r="T157" s="369"/>
      <c r="U157" s="369"/>
      <c r="V157" s="369"/>
      <c r="W157" s="369"/>
      <c r="X157" s="197">
        <f>S157-P157</f>
        <v>0.032477364539720055</v>
      </c>
      <c r="Y157" s="260">
        <f>#N/A</f>
        <v>0.032477364539720055</v>
      </c>
    </row>
    <row r="158" spans="1:25" s="6" customFormat="1" ht="44.25" customHeight="1" hidden="1">
      <c r="A158" s="8"/>
      <c r="B158" s="366" t="s">
        <v>38</v>
      </c>
      <c r="C158" s="322">
        <v>24061900</v>
      </c>
      <c r="D158" s="348">
        <v>160</v>
      </c>
      <c r="E158" s="348">
        <v>160</v>
      </c>
      <c r="F158" s="367">
        <v>142.18</v>
      </c>
      <c r="G158" s="348">
        <v>-17.819999999999993</v>
      </c>
      <c r="H158" s="347">
        <v>0.888625</v>
      </c>
      <c r="I158" s="348">
        <v>-17.819999999999993</v>
      </c>
      <c r="J158" s="347">
        <v>0.888625</v>
      </c>
      <c r="K158" s="368">
        <v>0</v>
      </c>
      <c r="L158" s="368">
        <v>0</v>
      </c>
      <c r="M158" s="368">
        <v>0</v>
      </c>
      <c r="N158" s="348">
        <v>226.72</v>
      </c>
      <c r="O158" s="348">
        <v>-66.72</v>
      </c>
      <c r="P158" s="347">
        <v>0.7057163020465773</v>
      </c>
      <c r="Q158" s="348">
        <v>226.72</v>
      </c>
      <c r="R158" s="348">
        <v>-84.53999999999999</v>
      </c>
      <c r="S158" s="347">
        <v>0.6271171489061398</v>
      </c>
      <c r="T158" s="369"/>
      <c r="U158" s="369"/>
      <c r="V158" s="369"/>
      <c r="W158" s="369"/>
      <c r="X158" s="197">
        <f>S158-P158</f>
        <v>-0.07859915314043753</v>
      </c>
      <c r="Y158" s="260">
        <f>#N/A</f>
        <v>-0.07859915314043753</v>
      </c>
    </row>
    <row r="159" spans="2:25" ht="15" hidden="1">
      <c r="B159" s="354" t="s">
        <v>184</v>
      </c>
      <c r="C159" s="370">
        <v>24060000</v>
      </c>
      <c r="D159" s="351">
        <v>8035</v>
      </c>
      <c r="E159" s="351">
        <v>8035</v>
      </c>
      <c r="F159" s="352">
        <v>8229.1</v>
      </c>
      <c r="G159" s="371">
        <v>194.10000000000036</v>
      </c>
      <c r="H159" s="189">
        <v>1.024156813939017</v>
      </c>
      <c r="I159" s="351">
        <v>194.10000000000036</v>
      </c>
      <c r="J159" s="189">
        <v>1.024156813939017</v>
      </c>
      <c r="K159" s="66"/>
      <c r="L159" s="66"/>
      <c r="M159" s="66"/>
      <c r="N159" s="351">
        <v>6751.88</v>
      </c>
      <c r="O159" s="351">
        <v>1283.12</v>
      </c>
      <c r="P159" s="189">
        <v>1.1900389224926984</v>
      </c>
      <c r="Q159" s="351">
        <v>6751.88</v>
      </c>
      <c r="R159" s="351">
        <v>1477.2200000000003</v>
      </c>
      <c r="S159" s="189">
        <v>1.2187864713235426</v>
      </c>
      <c r="T159" s="226"/>
      <c r="U159" s="226"/>
      <c r="V159" s="226"/>
      <c r="W159" s="226"/>
      <c r="X159" s="200">
        <f>S159-P159</f>
        <v>0.028747548830844183</v>
      </c>
      <c r="Y159" s="260">
        <f>#N/A</f>
        <v>0.028747548830844183</v>
      </c>
    </row>
    <row r="160" spans="20:23" ht="15" hidden="1">
      <c r="T160" s="226"/>
      <c r="U160" s="226"/>
      <c r="V160" s="226"/>
      <c r="W160" s="226"/>
    </row>
    <row r="161" spans="20:23" ht="15" hidden="1">
      <c r="T161" s="226"/>
      <c r="U161" s="226"/>
      <c r="V161" s="226"/>
      <c r="W161" s="226"/>
    </row>
    <row r="162" spans="20:23" ht="15" hidden="1">
      <c r="T162" s="226"/>
      <c r="U162" s="226"/>
      <c r="V162" s="226"/>
      <c r="W162" s="226"/>
    </row>
    <row r="163" spans="20:23" ht="15" hidden="1">
      <c r="T163" s="226"/>
      <c r="U163" s="226"/>
      <c r="V163" s="226"/>
      <c r="W163" s="226"/>
    </row>
    <row r="164" spans="20:23" ht="15" hidden="1">
      <c r="T164" s="226"/>
      <c r="U164" s="226"/>
      <c r="V164" s="226"/>
      <c r="W164" s="226"/>
    </row>
    <row r="165" spans="20:23" ht="15" hidden="1">
      <c r="T165" s="226"/>
      <c r="U165" s="226"/>
      <c r="V165" s="226"/>
      <c r="W165" s="226"/>
    </row>
    <row r="166" spans="20:23" ht="15" hidden="1">
      <c r="T166" s="226"/>
      <c r="U166" s="226"/>
      <c r="V166" s="226"/>
      <c r="W166" s="226"/>
    </row>
    <row r="167" spans="20:23" ht="15">
      <c r="T167" s="226"/>
      <c r="U167" s="226"/>
      <c r="V167" s="226"/>
      <c r="W167" s="226"/>
    </row>
    <row r="168" spans="20:23" ht="15">
      <c r="T168" s="226"/>
      <c r="U168" s="226"/>
      <c r="V168" s="226"/>
      <c r="W168" s="226"/>
    </row>
  </sheetData>
  <sheetProtection/>
  <mergeCells count="34">
    <mergeCell ref="B109:C109"/>
    <mergeCell ref="G109:H109"/>
    <mergeCell ref="G110:H110"/>
    <mergeCell ref="B111:C111"/>
    <mergeCell ref="G111:H111"/>
    <mergeCell ref="U113:V113"/>
    <mergeCell ref="U105:V105"/>
    <mergeCell ref="G106:H106"/>
    <mergeCell ref="U106:V106"/>
    <mergeCell ref="G107:H107"/>
    <mergeCell ref="U107:V107"/>
    <mergeCell ref="G108:H108"/>
    <mergeCell ref="V4:V5"/>
    <mergeCell ref="W4:W5"/>
    <mergeCell ref="K5:M5"/>
    <mergeCell ref="N5:P5"/>
    <mergeCell ref="Q5:S5"/>
    <mergeCell ref="G104:J104"/>
    <mergeCell ref="F4:F5"/>
    <mergeCell ref="G4:G5"/>
    <mergeCell ref="H4:H5"/>
    <mergeCell ref="I4:I5"/>
    <mergeCell ref="J4:J5"/>
    <mergeCell ref="U4:U5"/>
    <mergeCell ref="A1:W1"/>
    <mergeCell ref="B2:D2"/>
    <mergeCell ref="A3:A5"/>
    <mergeCell ref="B3:B5"/>
    <mergeCell ref="C3:C5"/>
    <mergeCell ref="D3:D5"/>
    <mergeCell ref="F3:J3"/>
    <mergeCell ref="T3:T5"/>
    <mergeCell ref="U3:W3"/>
    <mergeCell ref="E4:E5"/>
  </mergeCells>
  <printOptions/>
  <pageMargins left="0" right="0" top="0" bottom="0" header="0" footer="0"/>
  <pageSetup fitToHeight="1" fitToWidth="1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dohod2</cp:lastModifiedBy>
  <cp:lastPrinted>2018-08-27T12:18:25Z</cp:lastPrinted>
  <dcterms:created xsi:type="dcterms:W3CDTF">2003-07-28T11:27:56Z</dcterms:created>
  <dcterms:modified xsi:type="dcterms:W3CDTF">2018-08-28T11:26:53Z</dcterms:modified>
  <cp:category/>
  <cp:version/>
  <cp:contentType/>
  <cp:contentStatus/>
</cp:coreProperties>
</file>